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026"/>
  <workbookPr/>
  <mc:AlternateContent xmlns:mc="http://schemas.openxmlformats.org/markup-compatibility/2006">
    <mc:Choice Requires="x15">
      <x15ac:absPath xmlns:x15ac="http://schemas.microsoft.com/office/spreadsheetml/2010/11/ac" url="C:\Users\CNRUBIO.WINCOREYACERO\Dropbox\Documentos Christian\INVERTIR DESDE CERO MEXICO\BLOG\210609 HOJA DE ADMINISTRACION DE PATRIMONIO\"/>
    </mc:Choice>
  </mc:AlternateContent>
  <xr:revisionPtr revIDLastSave="0" documentId="13_ncr:1_{EAEF7EE6-80C0-4ABA-8D77-70FF1FDA07EB}" xr6:coauthVersionLast="47" xr6:coauthVersionMax="47" xr10:uidLastSave="{00000000-0000-0000-0000-000000000000}"/>
  <bookViews>
    <workbookView xWindow="-110" yWindow="-110" windowWidth="19420" windowHeight="10420" xr2:uid="{00000000-000D-0000-FFFF-FFFF00000000}"/>
  </bookViews>
  <sheets>
    <sheet name="Junio 2021" sheetId="162" r:id="rId1"/>
  </sheets>
  <definedNames>
    <definedName name="daygrid">days+weeks*7</definedName>
    <definedName name="daypattern">{1,1,2,2,3,3,4,4,5,5,6,6,7}</definedName>
    <definedName name="days">{0,1,2,3,4,5,6}</definedName>
    <definedName name="DayToStart">#REF!</definedName>
    <definedName name="months">{"enero","febrero","marzo","abril","mayo","junio","julio","agosto","septiembre","octubre","noviembre","diciembre"}</definedName>
    <definedName name="weekday_option">MATCH(DayToStart,weekdays_reversed,0)-2</definedName>
    <definedName name="weekdays_reversed">{"domingo","sábado","viernes","jueves","miércoles","martes","lunes"}</definedName>
    <definedName name="weeks">{0;1;2;3;4;5;6}</definedName>
  </definedNames>
  <calcPr calcId="181029"/>
  <fileRecoveryPr autoRecover="0"/>
</workbook>
</file>

<file path=xl/calcChain.xml><?xml version="1.0" encoding="utf-8"?>
<calcChain xmlns="http://schemas.openxmlformats.org/spreadsheetml/2006/main">
  <c r="AR38" i="162" l="1"/>
  <c r="AR42" i="162" s="1"/>
  <c r="AR46" i="162" s="1"/>
  <c r="AR50" i="162" s="1"/>
  <c r="AR54" i="162" s="1"/>
  <c r="AR58" i="162" s="1"/>
  <c r="AR62" i="162" s="1"/>
  <c r="AR66" i="162" s="1"/>
  <c r="AR70" i="162" s="1"/>
  <c r="AR74" i="162" s="1"/>
  <c r="AR78" i="162" s="1"/>
  <c r="AR82" i="162" s="1"/>
  <c r="AR86" i="162" s="1"/>
  <c r="AR90" i="162" s="1"/>
  <c r="AT29" i="162" l="1"/>
  <c r="AR25" i="162"/>
  <c r="AT11" i="162"/>
  <c r="AU11" i="162" s="1"/>
  <c r="AT10" i="162"/>
  <c r="AU10" i="162" s="1"/>
  <c r="AT12" i="162"/>
  <c r="AU12" i="162" s="1"/>
  <c r="AT14" i="162"/>
  <c r="AU14" i="162" s="1"/>
  <c r="AT15" i="162"/>
  <c r="AU15" i="162" s="1"/>
  <c r="AT16" i="162"/>
  <c r="AU16" i="162" s="1"/>
  <c r="AT17" i="162"/>
  <c r="AU17" i="162" s="1"/>
  <c r="AT18" i="162"/>
  <c r="AU18" i="162" s="1"/>
  <c r="AT20" i="162"/>
  <c r="AU20" i="162" s="1"/>
  <c r="AT21" i="162"/>
  <c r="AU21" i="162" s="1"/>
  <c r="AT22" i="162"/>
  <c r="AU22" i="162" s="1"/>
  <c r="AT23" i="162"/>
  <c r="AU23" i="162"/>
  <c r="AT24" i="162"/>
  <c r="AU24" i="162" s="1"/>
  <c r="Z16" i="162"/>
  <c r="T14" i="162"/>
  <c r="AT89" i="162" l="1"/>
  <c r="AT73" i="162"/>
  <c r="AT57" i="162"/>
  <c r="AT41" i="162"/>
  <c r="AT49" i="162"/>
  <c r="AT77" i="162"/>
  <c r="AT45" i="162"/>
  <c r="AT85" i="162"/>
  <c r="AT69" i="162"/>
  <c r="AT53" i="162"/>
  <c r="AT65" i="162"/>
  <c r="AT93" i="162"/>
  <c r="AT61" i="162"/>
  <c r="AT81" i="162"/>
  <c r="AT33" i="162"/>
  <c r="AT37" i="162"/>
  <c r="Z17" i="162"/>
  <c r="Z18" i="162" s="1"/>
  <c r="Y17" i="162"/>
  <c r="Y18" i="162" s="1"/>
  <c r="X17" i="162"/>
  <c r="X18" i="162" s="1"/>
  <c r="W17" i="162"/>
  <c r="W18" i="162" s="1"/>
  <c r="V17" i="162"/>
  <c r="V18" i="162" s="1"/>
  <c r="T17" i="162"/>
  <c r="T18" i="162" s="1"/>
  <c r="S17" i="162"/>
  <c r="S18" i="162" s="1"/>
  <c r="R17" i="162"/>
  <c r="R18" i="162" s="1"/>
  <c r="Y13" i="162"/>
  <c r="Y14" i="162" s="1"/>
  <c r="X13" i="162"/>
  <c r="X14" i="162" s="1"/>
  <c r="W13" i="162"/>
  <c r="W14" i="162" s="1"/>
  <c r="V13" i="162"/>
  <c r="V14" i="162" s="1"/>
  <c r="S14" i="162"/>
  <c r="R14" i="162"/>
  <c r="Q14" i="162"/>
  <c r="H20" i="162" l="1"/>
  <c r="H19" i="162"/>
  <c r="H18" i="162"/>
  <c r="H17" i="162"/>
  <c r="H16" i="162"/>
  <c r="H15" i="162"/>
  <c r="H14" i="162"/>
  <c r="H13" i="162"/>
  <c r="H12" i="162"/>
  <c r="H11" i="162"/>
  <c r="H10" i="162"/>
  <c r="J10" i="162"/>
  <c r="Z68" i="162"/>
  <c r="Z52" i="162"/>
  <c r="Z64" i="162"/>
  <c r="I13" i="162" l="1"/>
  <c r="I17" i="162"/>
  <c r="I16" i="162"/>
  <c r="I20" i="162"/>
  <c r="I12" i="162"/>
  <c r="I19" i="162"/>
  <c r="I10" i="162"/>
  <c r="I14" i="162"/>
  <c r="I18" i="162"/>
  <c r="I11" i="162"/>
  <c r="I15" i="162"/>
  <c r="Z56" i="162"/>
  <c r="Z40" i="162"/>
  <c r="Z44" i="162" l="1"/>
  <c r="Z23" i="162" l="1"/>
  <c r="AT13" i="162" s="1"/>
  <c r="Z36" i="162"/>
  <c r="Z32" i="162"/>
  <c r="AU13" i="162" l="1"/>
  <c r="Z69" i="162"/>
  <c r="Z70" i="162" s="1"/>
  <c r="Z65" i="162"/>
  <c r="Z66" i="162" s="1"/>
  <c r="Z61" i="162"/>
  <c r="Z62" i="162" s="1"/>
  <c r="Z57" i="162"/>
  <c r="Z58" i="162" s="1"/>
  <c r="Z53" i="162"/>
  <c r="Z54" i="162" s="1"/>
  <c r="Z45" i="162"/>
  <c r="Z46" i="162" s="1"/>
  <c r="Z77" i="162"/>
  <c r="Z37" i="162"/>
  <c r="Z38" i="162" s="1"/>
  <c r="Z33" i="162"/>
  <c r="Z34" i="162" s="1"/>
  <c r="Z29" i="162"/>
  <c r="Z30" i="162" s="1"/>
  <c r="Z21" i="162"/>
  <c r="Z22" i="162" s="1"/>
  <c r="T78" i="162"/>
  <c r="S78" i="162"/>
  <c r="R78" i="162"/>
  <c r="AF77" i="162"/>
  <c r="AE77" i="162"/>
  <c r="AD77" i="162"/>
  <c r="AC77" i="162"/>
  <c r="AB77" i="162"/>
  <c r="AA77" i="162"/>
  <c r="R77" i="162"/>
  <c r="AF76" i="162"/>
  <c r="AE76" i="162"/>
  <c r="AD76" i="162"/>
  <c r="AC76" i="162"/>
  <c r="AB76" i="162"/>
  <c r="AA76" i="162"/>
  <c r="T75" i="162"/>
  <c r="R72" i="162"/>
  <c r="W69" i="162"/>
  <c r="W70" i="162" s="1"/>
  <c r="Y68" i="162"/>
  <c r="Y69" i="162" s="1"/>
  <c r="Y70" i="162" s="1"/>
  <c r="X68" i="162"/>
  <c r="X69" i="162" s="1"/>
  <c r="X70" i="162" s="1"/>
  <c r="V68" i="162"/>
  <c r="V69" i="162" s="1"/>
  <c r="V70" i="162" s="1"/>
  <c r="U68" i="162"/>
  <c r="U69" i="162" s="1"/>
  <c r="U70" i="162" s="1"/>
  <c r="Y64" i="162"/>
  <c r="Y65" i="162" s="1"/>
  <c r="Y66" i="162" s="1"/>
  <c r="X64" i="162"/>
  <c r="Y61" i="162"/>
  <c r="Y62" i="162" s="1"/>
  <c r="U61" i="162"/>
  <c r="U62" i="162" s="1"/>
  <c r="X60" i="162"/>
  <c r="W60" i="162"/>
  <c r="W61" i="162" s="1"/>
  <c r="W62" i="162" s="1"/>
  <c r="V60" i="162"/>
  <c r="V61" i="162" s="1"/>
  <c r="V62" i="162" s="1"/>
  <c r="U57" i="162"/>
  <c r="Y56" i="162"/>
  <c r="Y57" i="162" s="1"/>
  <c r="Y58" i="162" s="1"/>
  <c r="X56" i="162"/>
  <c r="X57" i="162" s="1"/>
  <c r="X58" i="162" s="1"/>
  <c r="W56" i="162"/>
  <c r="W57" i="162" s="1"/>
  <c r="W58" i="162" s="1"/>
  <c r="V56" i="162"/>
  <c r="V57" i="162" s="1"/>
  <c r="V58" i="162" s="1"/>
  <c r="S55" i="162"/>
  <c r="X53" i="162"/>
  <c r="X54" i="162" s="1"/>
  <c r="U53" i="162"/>
  <c r="U54" i="162" s="1"/>
  <c r="Y52" i="162"/>
  <c r="W52" i="162"/>
  <c r="W53" i="162" s="1"/>
  <c r="W54" i="162" s="1"/>
  <c r="V52" i="162"/>
  <c r="AG48" i="162"/>
  <c r="U47" i="162"/>
  <c r="Y44" i="162"/>
  <c r="Y45" i="162" s="1"/>
  <c r="Y46" i="162" s="1"/>
  <c r="X44" i="162"/>
  <c r="X45" i="162" s="1"/>
  <c r="X46" i="162" s="1"/>
  <c r="W44" i="162"/>
  <c r="W45" i="162" s="1"/>
  <c r="W46" i="162" s="1"/>
  <c r="V44" i="162"/>
  <c r="V45" i="162" s="1"/>
  <c r="V46" i="162" s="1"/>
  <c r="U44" i="162"/>
  <c r="U41" i="162"/>
  <c r="U42" i="162" s="1"/>
  <c r="Y40" i="162"/>
  <c r="Y41" i="162" s="1"/>
  <c r="Y42" i="162" s="1"/>
  <c r="X40" i="162"/>
  <c r="X41" i="162" s="1"/>
  <c r="X42" i="162" s="1"/>
  <c r="W40" i="162"/>
  <c r="W41" i="162" s="1"/>
  <c r="W42" i="162" s="1"/>
  <c r="V40" i="162"/>
  <c r="V41" i="162" s="1"/>
  <c r="V42" i="162" s="1"/>
  <c r="X37" i="162"/>
  <c r="X38" i="162" s="1"/>
  <c r="Y36" i="162"/>
  <c r="Y37" i="162" s="1"/>
  <c r="Y38" i="162" s="1"/>
  <c r="W36" i="162"/>
  <c r="W37" i="162" s="1"/>
  <c r="W38" i="162" s="1"/>
  <c r="V36" i="162"/>
  <c r="V37" i="162" s="1"/>
  <c r="V38" i="162" s="1"/>
  <c r="AS34" i="162"/>
  <c r="AS38" i="162" s="1"/>
  <c r="AS42" i="162" s="1"/>
  <c r="AS46" i="162" s="1"/>
  <c r="R34" i="162"/>
  <c r="Y32" i="162"/>
  <c r="Y33" i="162" s="1"/>
  <c r="Y34" i="162" s="1"/>
  <c r="X32" i="162"/>
  <c r="X33" i="162" s="1"/>
  <c r="X34" i="162" s="1"/>
  <c r="W32" i="162"/>
  <c r="V32" i="162"/>
  <c r="U32" i="162"/>
  <c r="V31" i="162"/>
  <c r="U31" i="162"/>
  <c r="Y28" i="162"/>
  <c r="Y29" i="162" s="1"/>
  <c r="Y30" i="162" s="1"/>
  <c r="X28" i="162"/>
  <c r="X29" i="162" s="1"/>
  <c r="X30" i="162" s="1"/>
  <c r="W28" i="162"/>
  <c r="W29" i="162" s="1"/>
  <c r="X24" i="162"/>
  <c r="W24" i="162"/>
  <c r="V24" i="162"/>
  <c r="U24" i="162"/>
  <c r="Y23" i="162"/>
  <c r="Z25" i="162" s="1"/>
  <c r="Z26" i="162" s="1"/>
  <c r="X23" i="162"/>
  <c r="W23" i="162"/>
  <c r="V23" i="162"/>
  <c r="U23" i="162"/>
  <c r="Y21" i="162"/>
  <c r="Y22" i="162" s="1"/>
  <c r="X21" i="162"/>
  <c r="X22" i="162" s="1"/>
  <c r="W21" i="162"/>
  <c r="W22" i="162" s="1"/>
  <c r="V20" i="162"/>
  <c r="V21" i="162" s="1"/>
  <c r="V22" i="162" s="1"/>
  <c r="U20" i="162"/>
  <c r="U21" i="162" s="1"/>
  <c r="U22" i="162" s="1"/>
  <c r="Z13" i="162"/>
  <c r="Z14" i="162" s="1"/>
  <c r="S77" i="162"/>
  <c r="G8" i="162"/>
  <c r="U75" i="162" l="1"/>
  <c r="W33" i="162"/>
  <c r="W34" i="162" s="1"/>
  <c r="U13" i="162"/>
  <c r="U14" i="162" s="1"/>
  <c r="E8" i="162"/>
  <c r="J8" i="162" s="1"/>
  <c r="AG64" i="162"/>
  <c r="X25" i="162"/>
  <c r="X26" i="162" s="1"/>
  <c r="U33" i="162"/>
  <c r="U34" i="162" s="1"/>
  <c r="AE78" i="162"/>
  <c r="U25" i="162"/>
  <c r="U26" i="162" s="1"/>
  <c r="V25" i="162"/>
  <c r="V26" i="162" s="1"/>
  <c r="AC78" i="162"/>
  <c r="W25" i="162"/>
  <c r="W26" i="162" s="1"/>
  <c r="Z41" i="162"/>
  <c r="W30" i="162"/>
  <c r="AG29" i="162"/>
  <c r="AG17" i="162"/>
  <c r="AS50" i="162"/>
  <c r="U49" i="162"/>
  <c r="V47" i="162"/>
  <c r="U76" i="162"/>
  <c r="AG52" i="162"/>
  <c r="V77" i="162"/>
  <c r="V53" i="162"/>
  <c r="V54" i="162" s="1"/>
  <c r="V33" i="162"/>
  <c r="V34" i="162" s="1"/>
  <c r="S71" i="162"/>
  <c r="Y25" i="162"/>
  <c r="Y26" i="162" s="1"/>
  <c r="AG57" i="162"/>
  <c r="AG58" i="162" s="1"/>
  <c r="U58" i="162"/>
  <c r="Y77" i="162"/>
  <c r="AG56" i="162"/>
  <c r="AG69" i="162"/>
  <c r="AG70" i="162" s="1"/>
  <c r="U77" i="162"/>
  <c r="X61" i="162"/>
  <c r="X62" i="162" s="1"/>
  <c r="X77" i="162"/>
  <c r="AD78" i="162"/>
  <c r="U45" i="162"/>
  <c r="Y53" i="162"/>
  <c r="Y54" i="162" s="1"/>
  <c r="AG60" i="162"/>
  <c r="X65" i="162"/>
  <c r="AG68" i="162"/>
  <c r="W77" i="162"/>
  <c r="AB78" i="162"/>
  <c r="AF78" i="162"/>
  <c r="V75" i="162" l="1"/>
  <c r="AG33" i="162"/>
  <c r="AG61" i="162"/>
  <c r="AG62" i="162" s="1"/>
  <c r="AG77" i="162"/>
  <c r="Z42" i="162"/>
  <c r="AG41" i="162"/>
  <c r="AG42" i="162" s="1"/>
  <c r="AG65" i="162"/>
  <c r="AG66" i="162" s="1"/>
  <c r="X66" i="162"/>
  <c r="U46" i="162"/>
  <c r="AG45" i="162"/>
  <c r="V76" i="162"/>
  <c r="V49" i="162"/>
  <c r="V50" i="162" s="1"/>
  <c r="W47" i="162"/>
  <c r="U71" i="162"/>
  <c r="U50" i="162"/>
  <c r="AG53" i="162"/>
  <c r="AG54" i="162" s="1"/>
  <c r="U78" i="162"/>
  <c r="AS54" i="162"/>
  <c r="W75" i="162" l="1"/>
  <c r="AG13" i="162"/>
  <c r="U72" i="162"/>
  <c r="V78" i="162"/>
  <c r="V71" i="162"/>
  <c r="V72" i="162" s="1"/>
  <c r="AS58" i="162"/>
  <c r="W76" i="162"/>
  <c r="W49" i="162"/>
  <c r="X47" i="162"/>
  <c r="W78" i="162" l="1"/>
  <c r="X76" i="162"/>
  <c r="X49" i="162"/>
  <c r="Y47" i="162"/>
  <c r="Z47" i="162" s="1"/>
  <c r="AT19" i="162" s="1"/>
  <c r="W50" i="162"/>
  <c r="W71" i="162"/>
  <c r="W72" i="162" s="1"/>
  <c r="AS62" i="162"/>
  <c r="AU19" i="162" l="1"/>
  <c r="AU25" i="162" s="1"/>
  <c r="AT25" i="162"/>
  <c r="O46" i="162"/>
  <c r="Z49" i="162"/>
  <c r="AS66" i="162"/>
  <c r="X50" i="162"/>
  <c r="X71" i="162"/>
  <c r="X72" i="162" s="1"/>
  <c r="Y49" i="162"/>
  <c r="Y76" i="162"/>
  <c r="X78" i="162"/>
  <c r="AU26" i="162" l="1"/>
  <c r="AT31" i="162"/>
  <c r="O54" i="162"/>
  <c r="O30" i="162"/>
  <c r="O42" i="162"/>
  <c r="O50" i="162"/>
  <c r="O26" i="162"/>
  <c r="O58" i="162"/>
  <c r="O66" i="162"/>
  <c r="O34" i="162"/>
  <c r="O62" i="162"/>
  <c r="O18" i="162"/>
  <c r="O38" i="162"/>
  <c r="O22" i="162"/>
  <c r="Z78" i="162"/>
  <c r="Z50" i="162"/>
  <c r="Z71" i="162"/>
  <c r="Z72" i="162" s="1"/>
  <c r="AA78" i="162"/>
  <c r="O14" i="162"/>
  <c r="O10" i="162"/>
  <c r="Y50" i="162"/>
  <c r="Y71" i="162"/>
  <c r="Y72" i="162" s="1"/>
  <c r="AS70" i="162"/>
  <c r="Y78" i="162"/>
  <c r="AG49" i="162"/>
  <c r="AG50" i="162" s="1"/>
  <c r="O75" i="162" l="1"/>
  <c r="AG71" i="162"/>
  <c r="AT30" i="162"/>
  <c r="AU27" i="162"/>
  <c r="AS74" i="162"/>
  <c r="AU28" i="162" l="1"/>
  <c r="AS78" i="162"/>
  <c r="AT32" i="162" l="1"/>
  <c r="AT34" i="162" s="1"/>
  <c r="AS82" i="162"/>
  <c r="AT35" i="162" l="1"/>
  <c r="AT36" i="162" s="1"/>
  <c r="AT38" i="162" s="1"/>
  <c r="AT39" i="162" s="1"/>
  <c r="AT40" i="162" s="1"/>
  <c r="AT42" i="162" s="1"/>
  <c r="AT43" i="162" s="1"/>
  <c r="AS86" i="162"/>
  <c r="AS90" i="162" l="1"/>
  <c r="AT44" i="162" l="1"/>
  <c r="AT46" i="162" s="1"/>
  <c r="AT47" i="162" s="1"/>
  <c r="AT48" i="162" l="1"/>
  <c r="AT50" i="162" s="1"/>
  <c r="AT51" i="162" s="1"/>
  <c r="AT52" i="162" l="1"/>
  <c r="AT54" i="162" s="1"/>
  <c r="AT55" i="162" s="1"/>
  <c r="AT56" i="162" l="1"/>
  <c r="AT58" i="162" s="1"/>
  <c r="AT59" i="162" s="1"/>
  <c r="AT60" i="162" l="1"/>
  <c r="AT62" i="162" s="1"/>
  <c r="AT63" i="162" s="1"/>
  <c r="AT64" i="162" l="1"/>
  <c r="AT66" i="162" s="1"/>
  <c r="AT67" i="162" s="1"/>
  <c r="AT68" i="162" l="1"/>
  <c r="AT70" i="162" s="1"/>
  <c r="AT71" i="162" s="1"/>
  <c r="AT72" i="162" l="1"/>
  <c r="AT74" i="162" s="1"/>
  <c r="AT75" i="162" s="1"/>
  <c r="AT76" i="162" l="1"/>
  <c r="AT78" i="162" s="1"/>
  <c r="AT79" i="162" s="1"/>
  <c r="AT80" i="162" l="1"/>
  <c r="AT82" i="162" s="1"/>
  <c r="AT83" i="162" s="1"/>
  <c r="AT84" i="162" l="1"/>
  <c r="AT86" i="162" s="1"/>
  <c r="AT87" i="162" s="1"/>
  <c r="AT88" i="162" l="1"/>
  <c r="AT90" i="162" s="1"/>
  <c r="AT91" i="162" s="1"/>
  <c r="AT92" i="16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Christian Noe Rubio Gutierrez</author>
  </authors>
  <commentList>
    <comment ref="B10" authorId="0" shapeId="0" xr:uid="{1177B8BE-A3EC-4590-89D9-4493622DA8F5}">
      <text>
        <r>
          <rPr>
            <b/>
            <sz val="9"/>
            <color indexed="81"/>
            <rFont val="Tahoma"/>
            <family val="2"/>
          </rPr>
          <t>Este es el primer gasto, porque es el MAS IMPORTANTE. Es el que nospermitirá conseguir la libertad financiera. Debe de verse como si fuese igual (o mas importante) que l ahipoteca y manutención. Este gasto NO ES NEGOCIABLE.</t>
        </r>
        <r>
          <rPr>
            <sz val="9"/>
            <color indexed="81"/>
            <rFont val="Tahoma"/>
            <family val="2"/>
          </rPr>
          <t xml:space="preserve">
</t>
        </r>
      </text>
    </comment>
  </commentList>
</comments>
</file>

<file path=xl/sharedStrings.xml><?xml version="1.0" encoding="utf-8"?>
<sst xmlns="http://schemas.openxmlformats.org/spreadsheetml/2006/main" count="179" uniqueCount="88">
  <si>
    <t>Ingresos</t>
  </si>
  <si>
    <t>Gastos</t>
  </si>
  <si>
    <t>Total</t>
  </si>
  <si>
    <t>RESUMEN</t>
  </si>
  <si>
    <t>ETORO</t>
  </si>
  <si>
    <t>CIERRE 2017</t>
  </si>
  <si>
    <t>AFLUENTA</t>
  </si>
  <si>
    <t>CETES</t>
  </si>
  <si>
    <t>BRIQ</t>
  </si>
  <si>
    <t>PRESTADERO</t>
  </si>
  <si>
    <t>BRIQ VALOR DE LA CUENTA</t>
  </si>
  <si>
    <t>CIERRE 2018</t>
  </si>
  <si>
    <t>INVERSIONES EVOLUCIÓN DE RENDIMIENTOS</t>
  </si>
  <si>
    <t>VARIACION DEL PATRIMONIO</t>
  </si>
  <si>
    <t>RENDIMIENTO TOTAL INVERSIONES (CETES AFLUENTA, BRIQ) SIN ETORO</t>
  </si>
  <si>
    <t>DOOPLA</t>
  </si>
  <si>
    <t>PM2</t>
  </si>
  <si>
    <t>YOTEPRESTO</t>
  </si>
  <si>
    <t>M2CROWD</t>
  </si>
  <si>
    <t>AHORRO</t>
  </si>
  <si>
    <t>CUMPLO</t>
  </si>
  <si>
    <t>SPXL HOME BROKER</t>
  </si>
  <si>
    <t>Rend Reinv</t>
  </si>
  <si>
    <t>CIERRE 2019</t>
  </si>
  <si>
    <t>AGUA GENERAR RECIBO 20 DE CADA MES PAGAR POR ADELANTADO A TDC ajustar a que se paguen día primero de cda mes</t>
  </si>
  <si>
    <t>BURSANET</t>
  </si>
  <si>
    <t>PROYECCION POR MES</t>
  </si>
  <si>
    <t>FINANCIERA SUSTENTABLE</t>
  </si>
  <si>
    <t>INSTRUMENTO</t>
  </si>
  <si>
    <t>ETORO VALOR DE LA CUENTA</t>
  </si>
  <si>
    <t>HEY BANCO</t>
  </si>
  <si>
    <t>CIERRE 2020</t>
  </si>
  <si>
    <t>RENDIMIENTO MENSUAL ESPERADO</t>
  </si>
  <si>
    <t>BUSSINES</t>
  </si>
  <si>
    <t>PRIMER QUINCENA</t>
  </si>
  <si>
    <t>MES DE ENERO 2021</t>
  </si>
  <si>
    <t>SEGUNDA QUINCENA</t>
  </si>
  <si>
    <t>BALANCE MENSUAL</t>
  </si>
  <si>
    <t>Ingresos Vs. Gastos (Debe ser 0)</t>
  </si>
  <si>
    <t>GASTOS FIJOS (ÓRDENAR POR PRIORIDAD, ARRIBA LOS MAS IMPORTANTES)</t>
  </si>
  <si>
    <t>Monto destinado a Inversion 10% de mi ingreso</t>
  </si>
  <si>
    <t>Renta o Hipoteca</t>
  </si>
  <si>
    <t xml:space="preserve">Gasto de manutencion </t>
  </si>
  <si>
    <t>Colegiatura escuela</t>
  </si>
  <si>
    <t>Mensualidad automovil</t>
  </si>
  <si>
    <t>Internet</t>
  </si>
  <si>
    <t>Luz</t>
  </si>
  <si>
    <t>Porcentaje</t>
  </si>
  <si>
    <t>Suma mensual</t>
  </si>
  <si>
    <t>Seguros de vida, gastos médicos</t>
  </si>
  <si>
    <t>Diversion</t>
  </si>
  <si>
    <t>fondo de ahorro/Emergencia/vacaciones/otros</t>
  </si>
  <si>
    <t>INGRESOS A LA CUENTA</t>
  </si>
  <si>
    <t>RENDIMIENTOS DE LA CUENTA</t>
  </si>
  <si>
    <t>EVOLUCIÓN DE RENDIMIENTOS</t>
  </si>
  <si>
    <t>CETES VALOR DE LA CUENTA</t>
  </si>
  <si>
    <t>HEY BANCO VALOR DE LA CUENTA</t>
  </si>
  <si>
    <t>FINANCIERA SUSTENTABLE VALOR DE LA CUENTA</t>
  </si>
  <si>
    <t>PRESTADERO VALOR DE LA CUENTA</t>
  </si>
  <si>
    <t>AFLUENTA VALOR DE LA CUENTA</t>
  </si>
  <si>
    <t>M2CROWD VALOR DE LA CUENTA</t>
  </si>
  <si>
    <t>GBM FIBRAS VALOR DE LA CUENTA</t>
  </si>
  <si>
    <t>GBM BOLSA MEXICANA DE VALORES VALOR DE LA CUENTA</t>
  </si>
  <si>
    <t>BURSANET FONDO DE INVERSIÓN VALOR DE LA CUENTA</t>
  </si>
  <si>
    <t>DOOPLA VALOR DE LA CUENTA</t>
  </si>
  <si>
    <t>YOTEPRESTO VALOR DE LA CUENTA</t>
  </si>
  <si>
    <t>CUMPLO DE INVERSION MEXICANO VALOR DE LA CUENTA</t>
  </si>
  <si>
    <t>RED GIRASOL DE INVERSIÓN AMERICANO VALOR DE LA CUENTA</t>
  </si>
  <si>
    <t xml:space="preserve">Día con día o semana con semana se actualizan lo svalores de las inversiones, de tal forma que se vaya vizualizando el rendimiento que van generando. Así mismo al final de cada mes se cierran los números para poder iniciar el siguiente y ver que inversiones están generando determinado rendimiento. Al final de esta hoja, se suman los vamores cada mes y se puede vizualizar las ganancias finales mes por mes. </t>
  </si>
  <si>
    <t>VALOR TOTAL DE TODAS LAS INVERSIONES (PATRIMONIO)</t>
  </si>
  <si>
    <t>EJEMPLIFICA COMO SE HAN CERRADO AÑOS ANTERIORES EN LOS ACTIVOS PATRIMONIALES. EL 31 DE DICIEMBRE DE CADA AÑO, SE REALIZA UN "CORTE" DONDE SE COLOCAN LOS MONTOS FINALES PARA SABER COMO VAMOS EVOLUCIONANDO AÑO CON AÑO</t>
  </si>
  <si>
    <t>SECCIÓN ADMINISTRACIÓN DE GASTO CORRIENTE</t>
  </si>
  <si>
    <t xml:space="preserve">PORCENTAJE </t>
  </si>
  <si>
    <t>PROYECCION FUTURA</t>
  </si>
  <si>
    <t>INGRESOS TOTALES A NUESTRAS INVERSIONES</t>
  </si>
  <si>
    <t>SECCIÓN DE ADMINISTRACIÓN DE INVERSIONES</t>
  </si>
  <si>
    <t>PROYECCIÓN A LARGO PLAZO</t>
  </si>
  <si>
    <t>AHORRO MENSUAL</t>
  </si>
  <si>
    <t>PONDERACION IDEAL</t>
  </si>
  <si>
    <t>VALOR ACTUAL</t>
  </si>
  <si>
    <t>RNDIMIENTO ESTIMADO</t>
  </si>
  <si>
    <t>APORTACIONES EXTRAS</t>
  </si>
  <si>
    <t>HOY</t>
  </si>
  <si>
    <t>RENDIMIENTO MENSUAL EN DINERO</t>
  </si>
  <si>
    <t>RENDIMIENTO ANUAL EN DINERO</t>
  </si>
  <si>
    <t>RENDIMIENTO MENSUAL EN PORCENTAJE</t>
  </si>
  <si>
    <t>RENDIMIENTO ANUAL EN PORCENTAJE</t>
  </si>
  <si>
    <t>GANANCIA MENSUAL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</si>
</sst>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8" formatCode="&quot;$&quot;#,##0.00;[Red]\-&quot;$&quot;#,##0.00"/>
    <numFmt numFmtId="44" formatCode="_-&quot;$&quot;* #,##0.00_-;\-&quot;$&quot;* #,##0.00_-;_-&quot;$&quot;* &quot;-&quot;??_-;_-@_-"/>
    <numFmt numFmtId="164" formatCode="&quot;$&quot;#,##0.00"/>
    <numFmt numFmtId="165" formatCode="aaaa"/>
    <numFmt numFmtId="166" formatCode="d"/>
    <numFmt numFmtId="167" formatCode="0.0%"/>
    <numFmt numFmtId="168" formatCode="0.000%"/>
  </numFmts>
  <fonts count="19" x14ac:knownFonts="1">
    <font>
      <sz val="11"/>
      <color theme="1"/>
      <name val="Calibri"/>
      <family val="2"/>
      <scheme val="minor"/>
    </font>
    <font>
      <sz val="11"/>
      <color rgb="FFFF0000"/>
      <name val="Calibri"/>
      <family val="2"/>
      <scheme val="minor"/>
    </font>
    <font>
      <u/>
      <sz val="11"/>
      <color theme="1"/>
      <name val="Calibri"/>
      <family val="2"/>
      <scheme val="minor"/>
    </font>
    <font>
      <sz val="11"/>
      <color rgb="FF00B0F0"/>
      <name val="Calibri"/>
      <family val="2"/>
      <scheme val="minor"/>
    </font>
    <font>
      <sz val="9"/>
      <color indexed="81"/>
      <name val="Tahoma"/>
      <family val="2"/>
    </font>
    <font>
      <b/>
      <sz val="9"/>
      <color indexed="81"/>
      <name val="Tahoma"/>
      <family val="2"/>
    </font>
    <font>
      <sz val="10"/>
      <name val="Arial"/>
      <family val="2"/>
    </font>
    <font>
      <sz val="11"/>
      <color theme="1"/>
      <name val="Calibri"/>
      <family val="2"/>
      <scheme val="minor"/>
    </font>
    <font>
      <sz val="11"/>
      <name val="Calibri"/>
      <family val="2"/>
      <scheme val="minor"/>
    </font>
    <font>
      <sz val="20"/>
      <color theme="1"/>
      <name val="Calibri"/>
      <family val="2"/>
      <scheme val="minor"/>
    </font>
    <font>
      <sz val="19"/>
      <color theme="1" tint="0.14996795556505021"/>
      <name val="Calibri"/>
      <family val="2"/>
      <scheme val="minor"/>
    </font>
    <font>
      <b/>
      <sz val="55"/>
      <color theme="4"/>
      <name val="Calibri"/>
      <family val="2"/>
      <scheme val="minor"/>
    </font>
    <font>
      <sz val="10"/>
      <color theme="4"/>
      <name val="Calibri"/>
      <family val="2"/>
      <scheme val="minor"/>
    </font>
    <font>
      <sz val="12"/>
      <color theme="1" tint="0.14996795556505021"/>
      <name val="Calibri"/>
      <family val="2"/>
      <scheme val="minor"/>
    </font>
    <font>
      <b/>
      <sz val="11"/>
      <name val="Calibri"/>
      <family val="2"/>
      <scheme val="minor"/>
    </font>
    <font>
      <u val="double"/>
      <sz val="11"/>
      <name val="Calibri"/>
      <family val="2"/>
      <scheme val="minor"/>
    </font>
    <font>
      <sz val="11"/>
      <color theme="0"/>
      <name val="Calibri"/>
      <family val="2"/>
      <scheme val="minor"/>
    </font>
    <font>
      <sz val="22"/>
      <color theme="1"/>
      <name val="Calibri"/>
      <family val="2"/>
      <scheme val="minor"/>
    </font>
    <font>
      <b/>
      <sz val="22"/>
      <color theme="1"/>
      <name val="Calibri"/>
      <family val="2"/>
      <scheme val="minor"/>
    </font>
  </fonts>
  <fills count="19">
    <fill>
      <patternFill patternType="none"/>
    </fill>
    <fill>
      <patternFill patternType="gray125"/>
    </fill>
    <fill>
      <patternFill patternType="gray125">
        <bgColor theme="0"/>
      </patternFill>
    </fill>
    <fill>
      <patternFill patternType="solid">
        <fgColor rgb="FF00B050"/>
        <bgColor indexed="64"/>
      </patternFill>
    </fill>
    <fill>
      <patternFill patternType="gray125">
        <bgColor theme="1"/>
      </patternFill>
    </fill>
    <fill>
      <patternFill patternType="solid">
        <fgColor rgb="FFFFFF00"/>
        <bgColor indexed="64"/>
      </patternFill>
    </fill>
    <fill>
      <patternFill patternType="solid">
        <fgColor rgb="FF00B0F0"/>
        <bgColor indexed="64"/>
      </patternFill>
    </fill>
    <fill>
      <patternFill patternType="solid">
        <fgColor theme="1"/>
        <bgColor indexed="64"/>
      </patternFill>
    </fill>
    <fill>
      <patternFill patternType="solid">
        <fgColor rgb="FF92D050"/>
        <bgColor indexed="64"/>
      </patternFill>
    </fill>
    <fill>
      <patternFill patternType="solid">
        <fgColor theme="9"/>
        <bgColor indexed="64"/>
      </patternFill>
    </fill>
    <fill>
      <patternFill patternType="solid">
        <fgColor theme="4" tint="0.79998168889431442"/>
        <bgColor indexed="64"/>
      </patternFill>
    </fill>
    <fill>
      <patternFill patternType="solid">
        <fgColor rgb="FF002060"/>
        <bgColor indexed="64"/>
      </patternFill>
    </fill>
    <fill>
      <patternFill patternType="solid">
        <fgColor rgb="FFFFC000"/>
        <bgColor indexed="64"/>
      </patternFill>
    </fill>
    <fill>
      <patternFill patternType="solid">
        <fgColor theme="8" tint="0.59999389629810485"/>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9" tint="0.59999389629810485"/>
        <bgColor indexed="64"/>
      </patternFill>
    </fill>
  </fills>
  <borders count="28">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top style="medium">
        <color auto="1"/>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medium">
        <color auto="1"/>
      </bottom>
      <diagonal/>
    </border>
    <border>
      <left/>
      <right style="thin">
        <color auto="1"/>
      </right>
      <top style="thin">
        <color auto="1"/>
      </top>
      <bottom style="medium">
        <color auto="1"/>
      </bottom>
      <diagonal/>
    </border>
    <border>
      <left/>
      <right style="thin">
        <color auto="1"/>
      </right>
      <top style="medium">
        <color auto="1"/>
      </top>
      <bottom style="thin">
        <color auto="1"/>
      </bottom>
      <diagonal/>
    </border>
    <border>
      <left style="medium">
        <color auto="1"/>
      </left>
      <right style="thin">
        <color auto="1"/>
      </right>
      <top style="thin">
        <color auto="1"/>
      </top>
      <bottom/>
      <diagonal/>
    </border>
  </borders>
  <cellStyleXfs count="9">
    <xf numFmtId="0" fontId="0" fillId="0" borderId="0"/>
    <xf numFmtId="0" fontId="6" fillId="0" borderId="0"/>
    <xf numFmtId="9" fontId="7" fillId="0" borderId="0" applyFont="0" applyFill="0" applyBorder="0" applyAlignment="0" applyProtection="0"/>
    <xf numFmtId="0" fontId="10" fillId="0" borderId="0" applyNumberFormat="0" applyFill="0" applyBorder="0" applyProtection="0">
      <alignment vertical="center"/>
    </xf>
    <xf numFmtId="0" fontId="11" fillId="0" borderId="0" applyNumberFormat="0" applyFill="0" applyBorder="0" applyAlignment="0" applyProtection="0">
      <alignment horizontal="left" vertical="center"/>
    </xf>
    <xf numFmtId="0" fontId="12" fillId="0" borderId="0" applyNumberFormat="0" applyFill="0" applyBorder="0" applyAlignment="0" applyProtection="0">
      <alignment vertical="center"/>
    </xf>
    <xf numFmtId="165" fontId="13" fillId="0" borderId="0" applyFill="0" applyBorder="0" applyProtection="0">
      <alignment horizontal="left" vertical="center"/>
    </xf>
    <xf numFmtId="166" fontId="7" fillId="0" borderId="0" applyFont="0" applyFill="0" applyBorder="0" applyProtection="0">
      <alignment horizontal="right" vertical="center"/>
    </xf>
    <xf numFmtId="44" fontId="7" fillId="0" borderId="0" applyFont="0" applyFill="0" applyBorder="0" applyAlignment="0" applyProtection="0"/>
  </cellStyleXfs>
  <cellXfs count="232">
    <xf numFmtId="0" fontId="0" fillId="0" borderId="0" xfId="0"/>
    <xf numFmtId="164" fontId="0" fillId="0" borderId="0" xfId="0" applyNumberFormat="1"/>
    <xf numFmtId="0" fontId="0" fillId="0" borderId="1" xfId="0" applyBorder="1"/>
    <xf numFmtId="0" fontId="0" fillId="4" borderId="1" xfId="0" applyFill="1" applyBorder="1" applyAlignment="1">
      <alignment horizontal="center"/>
    </xf>
    <xf numFmtId="16" fontId="0" fillId="0" borderId="0" xfId="0" applyNumberFormat="1"/>
    <xf numFmtId="0" fontId="0" fillId="0" borderId="2" xfId="0" applyBorder="1"/>
    <xf numFmtId="0" fontId="0" fillId="0" borderId="3" xfId="0" applyBorder="1"/>
    <xf numFmtId="164" fontId="0" fillId="0" borderId="13" xfId="0" applyNumberFormat="1" applyBorder="1"/>
    <xf numFmtId="0" fontId="0" fillId="5" borderId="0" xfId="0" applyFill="1"/>
    <xf numFmtId="164" fontId="0" fillId="5" borderId="1" xfId="0" applyNumberFormat="1" applyFill="1" applyBorder="1"/>
    <xf numFmtId="9" fontId="0" fillId="0" borderId="0" xfId="2" applyFont="1"/>
    <xf numFmtId="164" fontId="0" fillId="3" borderId="13" xfId="0" applyNumberFormat="1" applyFill="1" applyBorder="1"/>
    <xf numFmtId="0" fontId="0" fillId="3" borderId="0" xfId="0" applyFill="1"/>
    <xf numFmtId="164" fontId="0" fillId="5" borderId="13" xfId="0" applyNumberFormat="1" applyFill="1" applyBorder="1"/>
    <xf numFmtId="0" fontId="0" fillId="0" borderId="13" xfId="0" applyBorder="1"/>
    <xf numFmtId="9" fontId="0" fillId="0" borderId="0" xfId="0" applyNumberFormat="1"/>
    <xf numFmtId="17" fontId="0" fillId="8" borderId="1" xfId="0" applyNumberFormat="1" applyFill="1" applyBorder="1"/>
    <xf numFmtId="164" fontId="0" fillId="8" borderId="13" xfId="0" applyNumberFormat="1" applyFill="1" applyBorder="1"/>
    <xf numFmtId="0" fontId="0" fillId="0" borderId="14" xfId="0" applyBorder="1"/>
    <xf numFmtId="0" fontId="0" fillId="0" borderId="15" xfId="0" applyBorder="1"/>
    <xf numFmtId="164" fontId="0" fillId="0" borderId="14" xfId="0" applyNumberFormat="1" applyBorder="1"/>
    <xf numFmtId="164" fontId="0" fillId="3" borderId="15" xfId="0" applyNumberFormat="1" applyFill="1" applyBorder="1"/>
    <xf numFmtId="164" fontId="0" fillId="6" borderId="1" xfId="0" applyNumberFormat="1" applyFill="1" applyBorder="1"/>
    <xf numFmtId="167" fontId="0" fillId="0" borderId="0" xfId="2" applyNumberFormat="1" applyFont="1"/>
    <xf numFmtId="0" fontId="0" fillId="7" borderId="0" xfId="0" applyFill="1"/>
    <xf numFmtId="0" fontId="0" fillId="3" borderId="5" xfId="0" applyFill="1" applyBorder="1"/>
    <xf numFmtId="164" fontId="0" fillId="6" borderId="15" xfId="0" applyNumberFormat="1" applyFill="1" applyBorder="1"/>
    <xf numFmtId="0" fontId="0" fillId="3" borderId="4" xfId="0" applyFill="1" applyBorder="1"/>
    <xf numFmtId="0" fontId="0" fillId="3" borderId="9" xfId="0" applyFill="1" applyBorder="1"/>
    <xf numFmtId="164" fontId="0" fillId="3" borderId="9" xfId="0" applyNumberFormat="1" applyFill="1" applyBorder="1"/>
    <xf numFmtId="0" fontId="0" fillId="11" borderId="9" xfId="0" applyFill="1" applyBorder="1"/>
    <xf numFmtId="164" fontId="0" fillId="11" borderId="14" xfId="0" applyNumberFormat="1" applyFill="1" applyBorder="1"/>
    <xf numFmtId="164" fontId="0" fillId="11" borderId="1" xfId="0" applyNumberFormat="1" applyFill="1" applyBorder="1"/>
    <xf numFmtId="164" fontId="0" fillId="12" borderId="3" xfId="0" applyNumberFormat="1" applyFill="1" applyBorder="1"/>
    <xf numFmtId="0" fontId="1" fillId="2" borderId="3" xfId="0" applyFont="1" applyFill="1" applyBorder="1"/>
    <xf numFmtId="0" fontId="0" fillId="13" borderId="4" xfId="0" applyFill="1" applyBorder="1"/>
    <xf numFmtId="0" fontId="1" fillId="2" borderId="6" xfId="0" applyFont="1" applyFill="1" applyBorder="1"/>
    <xf numFmtId="0" fontId="1" fillId="2" borderId="13" xfId="0" applyFont="1" applyFill="1" applyBorder="1"/>
    <xf numFmtId="0" fontId="1" fillId="2" borderId="15" xfId="0" applyFont="1" applyFill="1" applyBorder="1"/>
    <xf numFmtId="0" fontId="1" fillId="2" borderId="7" xfId="0" applyFont="1" applyFill="1" applyBorder="1"/>
    <xf numFmtId="0" fontId="3" fillId="2" borderId="5" xfId="0" applyFont="1" applyFill="1" applyBorder="1"/>
    <xf numFmtId="164" fontId="1" fillId="13" borderId="4" xfId="0" applyNumberFormat="1" applyFont="1" applyFill="1" applyBorder="1"/>
    <xf numFmtId="164" fontId="8" fillId="13" borderId="8" xfId="0" applyNumberFormat="1" applyFont="1" applyFill="1" applyBorder="1"/>
    <xf numFmtId="0" fontId="0" fillId="14" borderId="5" xfId="0" applyFill="1" applyBorder="1"/>
    <xf numFmtId="0" fontId="0" fillId="14" borderId="6" xfId="0" applyFill="1" applyBorder="1"/>
    <xf numFmtId="164" fontId="8" fillId="14" borderId="6" xfId="0" applyNumberFormat="1" applyFont="1" applyFill="1" applyBorder="1"/>
    <xf numFmtId="164" fontId="15" fillId="14" borderId="7" xfId="0" applyNumberFormat="1" applyFont="1" applyFill="1" applyBorder="1"/>
    <xf numFmtId="164" fontId="0" fillId="3" borderId="5" xfId="0" applyNumberFormat="1" applyFill="1" applyBorder="1"/>
    <xf numFmtId="17" fontId="0" fillId="12" borderId="1" xfId="0" applyNumberFormat="1" applyFill="1" applyBorder="1"/>
    <xf numFmtId="167" fontId="0" fillId="3" borderId="9" xfId="2" applyNumberFormat="1" applyFont="1" applyFill="1" applyBorder="1"/>
    <xf numFmtId="164" fontId="0" fillId="5" borderId="5" xfId="2" applyNumberFormat="1" applyFont="1" applyFill="1" applyBorder="1"/>
    <xf numFmtId="0" fontId="0" fillId="0" borderId="0" xfId="0" applyAlignment="1">
      <alignment horizontal="right"/>
    </xf>
    <xf numFmtId="0" fontId="8" fillId="14" borderId="5" xfId="0" applyFont="1" applyFill="1" applyBorder="1"/>
    <xf numFmtId="167" fontId="0" fillId="3" borderId="4" xfId="2" applyNumberFormat="1" applyFont="1" applyFill="1" applyBorder="1"/>
    <xf numFmtId="164" fontId="0" fillId="0" borderId="0" xfId="0" applyNumberFormat="1" applyFill="1" applyBorder="1"/>
    <xf numFmtId="0" fontId="0" fillId="0" borderId="0" xfId="0" applyFill="1" applyBorder="1"/>
    <xf numFmtId="0" fontId="0" fillId="0" borderId="0" xfId="0" applyFill="1" applyBorder="1" applyAlignment="1">
      <alignment wrapText="1"/>
    </xf>
    <xf numFmtId="44" fontId="0" fillId="0" borderId="8" xfId="0" applyNumberFormat="1" applyBorder="1"/>
    <xf numFmtId="164" fontId="0" fillId="0" borderId="0" xfId="0" applyNumberFormat="1" applyFill="1" applyBorder="1" applyAlignment="1">
      <alignment wrapText="1"/>
    </xf>
    <xf numFmtId="10" fontId="0" fillId="3" borderId="9" xfId="2" applyNumberFormat="1" applyFont="1" applyFill="1" applyBorder="1"/>
    <xf numFmtId="168" fontId="0" fillId="3" borderId="9" xfId="2" applyNumberFormat="1" applyFont="1" applyFill="1" applyBorder="1"/>
    <xf numFmtId="164" fontId="0" fillId="8" borderId="4" xfId="0" applyNumberFormat="1" applyFill="1" applyBorder="1"/>
    <xf numFmtId="9" fontId="0" fillId="8" borderId="9" xfId="2" applyFont="1" applyFill="1" applyBorder="1"/>
    <xf numFmtId="164" fontId="0" fillId="12" borderId="13" xfId="0" applyNumberFormat="1" applyFill="1" applyBorder="1"/>
    <xf numFmtId="164" fontId="0" fillId="12" borderId="14" xfId="0" applyNumberFormat="1" applyFill="1" applyBorder="1"/>
    <xf numFmtId="164" fontId="0" fillId="12" borderId="15" xfId="0" applyNumberFormat="1" applyFill="1" applyBorder="1"/>
    <xf numFmtId="167" fontId="0" fillId="12" borderId="14" xfId="2" applyNumberFormat="1" applyFont="1" applyFill="1" applyBorder="1"/>
    <xf numFmtId="9" fontId="0" fillId="12" borderId="14" xfId="2" applyFont="1" applyFill="1" applyBorder="1"/>
    <xf numFmtId="9" fontId="0" fillId="12" borderId="13" xfId="2" applyFont="1" applyFill="1" applyBorder="1"/>
    <xf numFmtId="9" fontId="0" fillId="12" borderId="1" xfId="2" applyFont="1" applyFill="1" applyBorder="1"/>
    <xf numFmtId="9" fontId="0" fillId="12" borderId="15" xfId="2" applyFont="1" applyFill="1" applyBorder="1"/>
    <xf numFmtId="164" fontId="0" fillId="16" borderId="4" xfId="0" applyNumberFormat="1" applyFill="1" applyBorder="1"/>
    <xf numFmtId="164" fontId="0" fillId="15" borderId="15" xfId="0" applyNumberFormat="1" applyFill="1" applyBorder="1"/>
    <xf numFmtId="164" fontId="0" fillId="10" borderId="15" xfId="0" applyNumberFormat="1" applyFill="1" applyBorder="1"/>
    <xf numFmtId="168" fontId="0" fillId="0" borderId="0" xfId="2" applyNumberFormat="1" applyFont="1" applyFill="1" applyBorder="1" applyAlignment="1">
      <alignment wrapText="1"/>
    </xf>
    <xf numFmtId="10" fontId="0" fillId="3" borderId="4" xfId="2" applyNumberFormat="1" applyFont="1" applyFill="1" applyBorder="1"/>
    <xf numFmtId="0" fontId="0" fillId="0" borderId="0" xfId="0" applyFill="1" applyBorder="1" applyAlignment="1">
      <alignment horizontal="center"/>
    </xf>
    <xf numFmtId="9" fontId="0" fillId="0" borderId="18" xfId="2" applyFont="1" applyBorder="1"/>
    <xf numFmtId="9" fontId="0" fillId="0" borderId="20" xfId="2" applyFont="1" applyBorder="1"/>
    <xf numFmtId="44" fontId="0" fillId="0" borderId="15" xfId="0" applyNumberFormat="1" applyBorder="1"/>
    <xf numFmtId="0" fontId="0" fillId="0" borderId="0" xfId="0" applyFill="1"/>
    <xf numFmtId="164" fontId="0" fillId="5" borderId="4" xfId="0" applyNumberFormat="1" applyFill="1" applyBorder="1"/>
    <xf numFmtId="164" fontId="0" fillId="0" borderId="0" xfId="0" applyNumberFormat="1" applyBorder="1" applyAlignment="1">
      <alignment horizontal="center" vertical="center"/>
    </xf>
    <xf numFmtId="164" fontId="0" fillId="12" borderId="5" xfId="0" applyNumberFormat="1" applyFill="1" applyBorder="1"/>
    <xf numFmtId="0" fontId="0" fillId="0" borderId="0" xfId="0" applyFill="1" applyBorder="1" applyAlignment="1">
      <alignment horizontal="left"/>
    </xf>
    <xf numFmtId="164" fontId="8" fillId="14" borderId="5" xfId="0" applyNumberFormat="1" applyFont="1" applyFill="1" applyBorder="1"/>
    <xf numFmtId="164" fontId="1" fillId="2" borderId="7" xfId="0" applyNumberFormat="1" applyFont="1" applyFill="1" applyBorder="1"/>
    <xf numFmtId="10" fontId="0" fillId="3" borderId="14" xfId="2" applyNumberFormat="1" applyFont="1" applyFill="1" applyBorder="1"/>
    <xf numFmtId="164" fontId="8" fillId="13" borderId="0" xfId="0" applyNumberFormat="1" applyFont="1" applyFill="1" applyBorder="1"/>
    <xf numFmtId="164" fontId="8" fillId="13" borderId="11" xfId="0" applyNumberFormat="1" applyFont="1" applyFill="1" applyBorder="1"/>
    <xf numFmtId="8" fontId="0" fillId="0" borderId="0" xfId="0" applyNumberFormat="1"/>
    <xf numFmtId="44" fontId="0" fillId="3" borderId="4" xfId="8" applyFont="1" applyFill="1" applyBorder="1"/>
    <xf numFmtId="10" fontId="0" fillId="8" borderId="9" xfId="2" applyNumberFormat="1" applyFont="1" applyFill="1" applyBorder="1"/>
    <xf numFmtId="44" fontId="0" fillId="12" borderId="15" xfId="8" applyFont="1" applyFill="1" applyBorder="1"/>
    <xf numFmtId="44" fontId="0" fillId="16" borderId="5" xfId="8" applyFont="1" applyFill="1" applyBorder="1"/>
    <xf numFmtId="0" fontId="3" fillId="2" borderId="2" xfId="0" applyFont="1" applyFill="1" applyBorder="1"/>
    <xf numFmtId="10" fontId="0" fillId="5" borderId="9" xfId="2" applyNumberFormat="1" applyFont="1" applyFill="1" applyBorder="1"/>
    <xf numFmtId="44" fontId="0" fillId="5" borderId="4" xfId="8" applyFont="1" applyFill="1" applyBorder="1"/>
    <xf numFmtId="168" fontId="0" fillId="5" borderId="9" xfId="2" applyNumberFormat="1" applyFont="1" applyFill="1" applyBorder="1"/>
    <xf numFmtId="17" fontId="16" fillId="7" borderId="1" xfId="0" applyNumberFormat="1" applyFont="1" applyFill="1" applyBorder="1"/>
    <xf numFmtId="167" fontId="0" fillId="5" borderId="4" xfId="2" applyNumberFormat="1" applyFont="1" applyFill="1" applyBorder="1"/>
    <xf numFmtId="164" fontId="16" fillId="7" borderId="13" xfId="0" applyNumberFormat="1" applyFont="1" applyFill="1" applyBorder="1"/>
    <xf numFmtId="164" fontId="1" fillId="13" borderId="9" xfId="0" applyNumberFormat="1" applyFont="1" applyFill="1" applyBorder="1"/>
    <xf numFmtId="164" fontId="0" fillId="12" borderId="4" xfId="0" applyNumberFormat="1" applyFill="1" applyBorder="1"/>
    <xf numFmtId="10" fontId="0" fillId="12" borderId="9" xfId="2" applyNumberFormat="1" applyFont="1" applyFill="1" applyBorder="1"/>
    <xf numFmtId="10" fontId="0" fillId="12" borderId="14" xfId="2" applyNumberFormat="1" applyFont="1" applyFill="1" applyBorder="1"/>
    <xf numFmtId="167" fontId="0" fillId="12" borderId="4" xfId="2" applyNumberFormat="1" applyFont="1" applyFill="1" applyBorder="1"/>
    <xf numFmtId="44" fontId="0" fillId="12" borderId="4" xfId="8" applyFont="1" applyFill="1" applyBorder="1"/>
    <xf numFmtId="167" fontId="0" fillId="12" borderId="9" xfId="2" applyNumberFormat="1" applyFont="1" applyFill="1" applyBorder="1"/>
    <xf numFmtId="44" fontId="0" fillId="12" borderId="5" xfId="8" applyFont="1" applyFill="1" applyBorder="1"/>
    <xf numFmtId="164" fontId="0" fillId="12" borderId="5" xfId="2" applyNumberFormat="1" applyFont="1" applyFill="1" applyBorder="1"/>
    <xf numFmtId="168" fontId="0" fillId="12" borderId="9" xfId="2" applyNumberFormat="1" applyFont="1" applyFill="1" applyBorder="1"/>
    <xf numFmtId="17" fontId="0" fillId="9" borderId="1" xfId="0" applyNumberFormat="1" applyFill="1" applyBorder="1"/>
    <xf numFmtId="164" fontId="0" fillId="9" borderId="13" xfId="0" applyNumberFormat="1" applyFill="1" applyBorder="1"/>
    <xf numFmtId="164" fontId="0" fillId="9" borderId="15" xfId="0" applyNumberFormat="1" applyFill="1" applyBorder="1"/>
    <xf numFmtId="164" fontId="0" fillId="9" borderId="4" xfId="0" applyNumberFormat="1" applyFill="1" applyBorder="1"/>
    <xf numFmtId="164" fontId="0" fillId="9" borderId="9" xfId="0" applyNumberFormat="1" applyFill="1" applyBorder="1"/>
    <xf numFmtId="9" fontId="0" fillId="9" borderId="13" xfId="2" applyFont="1" applyFill="1" applyBorder="1"/>
    <xf numFmtId="10" fontId="0" fillId="9" borderId="9" xfId="2" applyNumberFormat="1" applyFont="1" applyFill="1" applyBorder="1"/>
    <xf numFmtId="10" fontId="0" fillId="9" borderId="14" xfId="2" applyNumberFormat="1" applyFont="1" applyFill="1" applyBorder="1"/>
    <xf numFmtId="164" fontId="0" fillId="9" borderId="5" xfId="0" applyNumberFormat="1" applyFill="1" applyBorder="1"/>
    <xf numFmtId="164" fontId="0" fillId="9" borderId="5" xfId="2" applyNumberFormat="1" applyFont="1" applyFill="1" applyBorder="1"/>
    <xf numFmtId="168" fontId="0" fillId="9" borderId="9" xfId="2" applyNumberFormat="1" applyFont="1" applyFill="1" applyBorder="1"/>
    <xf numFmtId="164" fontId="0" fillId="5" borderId="4" xfId="8" applyNumberFormat="1" applyFont="1" applyFill="1" applyBorder="1"/>
    <xf numFmtId="164" fontId="8" fillId="5" borderId="13" xfId="0" applyNumberFormat="1" applyFont="1" applyFill="1" applyBorder="1"/>
    <xf numFmtId="164" fontId="8" fillId="12" borderId="13" xfId="0" applyNumberFormat="1" applyFont="1" applyFill="1" applyBorder="1"/>
    <xf numFmtId="17" fontId="0" fillId="17" borderId="1" xfId="0" applyNumberFormat="1" applyFill="1" applyBorder="1"/>
    <xf numFmtId="168" fontId="0" fillId="0" borderId="0" xfId="0" applyNumberFormat="1"/>
    <xf numFmtId="10" fontId="0" fillId="12" borderId="4" xfId="2" applyNumberFormat="1" applyFont="1" applyFill="1" applyBorder="1"/>
    <xf numFmtId="0" fontId="0" fillId="8" borderId="13" xfId="0" applyFill="1" applyBorder="1"/>
    <xf numFmtId="0" fontId="0" fillId="8" borderId="14" xfId="0" applyFill="1" applyBorder="1"/>
    <xf numFmtId="164" fontId="0" fillId="8" borderId="15" xfId="0" applyNumberFormat="1" applyFill="1" applyBorder="1"/>
    <xf numFmtId="10" fontId="0" fillId="8" borderId="14" xfId="2" applyNumberFormat="1" applyFont="1" applyFill="1" applyBorder="1"/>
    <xf numFmtId="44" fontId="0" fillId="8" borderId="4" xfId="8" applyFont="1" applyFill="1" applyBorder="1"/>
    <xf numFmtId="167" fontId="0" fillId="8" borderId="4" xfId="2" applyNumberFormat="1" applyFont="1" applyFill="1" applyBorder="1"/>
    <xf numFmtId="10" fontId="0" fillId="8" borderId="4" xfId="2" applyNumberFormat="1" applyFont="1" applyFill="1" applyBorder="1"/>
    <xf numFmtId="167" fontId="0" fillId="8" borderId="9" xfId="2" applyNumberFormat="1" applyFont="1" applyFill="1" applyBorder="1"/>
    <xf numFmtId="44" fontId="0" fillId="8" borderId="5" xfId="8" applyFont="1" applyFill="1" applyBorder="1"/>
    <xf numFmtId="164" fontId="0" fillId="8" borderId="5" xfId="2" applyNumberFormat="1" applyFont="1" applyFill="1" applyBorder="1"/>
    <xf numFmtId="168" fontId="0" fillId="8" borderId="9" xfId="2" applyNumberFormat="1" applyFont="1" applyFill="1" applyBorder="1"/>
    <xf numFmtId="10" fontId="0" fillId="9" borderId="4" xfId="2" applyNumberFormat="1" applyFont="1" applyFill="1" applyBorder="1"/>
    <xf numFmtId="167" fontId="0" fillId="12" borderId="14" xfId="0" applyNumberFormat="1" applyFill="1" applyBorder="1"/>
    <xf numFmtId="167" fontId="0" fillId="6" borderId="23" xfId="2" applyNumberFormat="1" applyFont="1" applyFill="1" applyBorder="1"/>
    <xf numFmtId="167" fontId="0" fillId="6" borderId="22" xfId="2" applyNumberFormat="1" applyFont="1" applyFill="1" applyBorder="1"/>
    <xf numFmtId="167" fontId="0" fillId="6" borderId="24" xfId="2" applyNumberFormat="1" applyFont="1" applyFill="1" applyBorder="1"/>
    <xf numFmtId="17" fontId="0" fillId="17" borderId="15" xfId="0" applyNumberFormat="1" applyFill="1" applyBorder="1"/>
    <xf numFmtId="17" fontId="0" fillId="8" borderId="2" xfId="0" applyNumberFormat="1" applyFill="1" applyBorder="1"/>
    <xf numFmtId="164" fontId="0" fillId="8" borderId="3" xfId="0" applyNumberFormat="1" applyFill="1" applyBorder="1" applyAlignment="1">
      <alignment wrapText="1"/>
    </xf>
    <xf numFmtId="164" fontId="0" fillId="8" borderId="11" xfId="0" applyNumberFormat="1" applyFill="1" applyBorder="1" applyAlignment="1">
      <alignment wrapText="1"/>
    </xf>
    <xf numFmtId="164" fontId="0" fillId="12" borderId="2" xfId="0" applyNumberFormat="1" applyFill="1" applyBorder="1" applyAlignment="1">
      <alignment wrapText="1"/>
    </xf>
    <xf numFmtId="9" fontId="0" fillId="0" borderId="27" xfId="2" applyFont="1" applyBorder="1"/>
    <xf numFmtId="0" fontId="0" fillId="0" borderId="0" xfId="0" applyAlignment="1">
      <alignment horizontal="center"/>
    </xf>
    <xf numFmtId="164" fontId="2" fillId="12" borderId="3" xfId="0" applyNumberFormat="1" applyFont="1" applyFill="1" applyBorder="1"/>
    <xf numFmtId="0" fontId="0" fillId="0" borderId="10" xfId="0" applyBorder="1" applyAlignment="1"/>
    <xf numFmtId="0" fontId="1" fillId="2" borderId="8" xfId="0" applyFont="1" applyFill="1" applyBorder="1"/>
    <xf numFmtId="0" fontId="3" fillId="0" borderId="16" xfId="0" applyFont="1" applyBorder="1"/>
    <xf numFmtId="0" fontId="1" fillId="0" borderId="17" xfId="0" applyFont="1" applyBorder="1"/>
    <xf numFmtId="44" fontId="8" fillId="0" borderId="20" xfId="8" applyFont="1" applyBorder="1"/>
    <xf numFmtId="164" fontId="8" fillId="0" borderId="21" xfId="8" applyNumberFormat="1" applyFont="1" applyBorder="1"/>
    <xf numFmtId="0" fontId="3" fillId="0" borderId="26" xfId="0" applyFont="1" applyBorder="1"/>
    <xf numFmtId="44" fontId="8" fillId="0" borderId="25" xfId="8" applyFont="1" applyBorder="1"/>
    <xf numFmtId="0" fontId="14" fillId="2" borderId="5" xfId="0" applyFont="1" applyFill="1" applyBorder="1"/>
    <xf numFmtId="164" fontId="8" fillId="2" borderId="16" xfId="2" applyNumberFormat="1" applyFont="1" applyFill="1" applyBorder="1"/>
    <xf numFmtId="9" fontId="8" fillId="2" borderId="17" xfId="2" applyFont="1" applyFill="1" applyBorder="1"/>
    <xf numFmtId="164" fontId="8" fillId="2" borderId="18" xfId="2" applyNumberFormat="1" applyFont="1" applyFill="1" applyBorder="1"/>
    <xf numFmtId="9" fontId="8" fillId="2" borderId="19" xfId="2" applyFont="1" applyFill="1" applyBorder="1"/>
    <xf numFmtId="164" fontId="8" fillId="2" borderId="20" xfId="2" applyNumberFormat="1" applyFont="1" applyFill="1" applyBorder="1"/>
    <xf numFmtId="9" fontId="8" fillId="2" borderId="21" xfId="2" applyFont="1" applyFill="1" applyBorder="1"/>
    <xf numFmtId="0" fontId="0" fillId="13" borderId="0" xfId="0" applyFill="1" applyBorder="1"/>
    <xf numFmtId="0" fontId="0" fillId="13" borderId="9" xfId="0" applyFill="1" applyBorder="1"/>
    <xf numFmtId="0" fontId="0" fillId="13" borderId="10" xfId="0" applyFill="1" applyBorder="1"/>
    <xf numFmtId="164" fontId="8" fillId="13" borderId="10" xfId="0" applyNumberFormat="1" applyFont="1" applyFill="1" applyBorder="1"/>
    <xf numFmtId="17" fontId="0" fillId="7" borderId="0" xfId="0" applyNumberFormat="1" applyFill="1" applyBorder="1"/>
    <xf numFmtId="164" fontId="0" fillId="7" borderId="0" xfId="0" applyNumberFormat="1" applyFill="1" applyBorder="1"/>
    <xf numFmtId="164" fontId="0" fillId="7" borderId="8" xfId="0" applyNumberFormat="1" applyFill="1" applyBorder="1"/>
    <xf numFmtId="44" fontId="9" fillId="7" borderId="0" xfId="8" applyFont="1" applyFill="1" applyBorder="1" applyAlignment="1">
      <alignment horizontal="center" vertical="center"/>
    </xf>
    <xf numFmtId="0" fontId="0" fillId="7" borderId="0" xfId="0" applyFill="1" applyAlignment="1">
      <alignment horizontal="center" vertical="center"/>
    </xf>
    <xf numFmtId="0" fontId="0" fillId="12" borderId="15" xfId="0" applyFill="1" applyBorder="1"/>
    <xf numFmtId="0" fontId="17" fillId="0" borderId="0" xfId="0" applyFont="1" applyBorder="1" applyAlignment="1">
      <alignment horizontal="center"/>
    </xf>
    <xf numFmtId="0" fontId="1" fillId="7" borderId="0" xfId="0" applyFont="1" applyFill="1"/>
    <xf numFmtId="164" fontId="1" fillId="7" borderId="0" xfId="0" applyNumberFormat="1" applyFont="1" applyFill="1"/>
    <xf numFmtId="164" fontId="0" fillId="7" borderId="0" xfId="0" applyNumberFormat="1" applyFont="1" applyFill="1"/>
    <xf numFmtId="167" fontId="7" fillId="7" borderId="0" xfId="2" applyNumberFormat="1" applyFont="1" applyFill="1"/>
    <xf numFmtId="167" fontId="0" fillId="7" borderId="0" xfId="0" applyNumberFormat="1" applyFill="1"/>
    <xf numFmtId="164" fontId="0" fillId="7" borderId="0" xfId="0" applyNumberFormat="1" applyFill="1"/>
    <xf numFmtId="9" fontId="0" fillId="7" borderId="0" xfId="2" applyFont="1" applyFill="1"/>
    <xf numFmtId="0" fontId="1" fillId="0" borderId="0" xfId="0" applyFont="1" applyFill="1"/>
    <xf numFmtId="164" fontId="1" fillId="0" borderId="0" xfId="0" applyNumberFormat="1" applyFont="1" applyFill="1"/>
    <xf numFmtId="164" fontId="0" fillId="0" borderId="0" xfId="0" applyNumberFormat="1" applyFont="1" applyFill="1"/>
    <xf numFmtId="167" fontId="7" fillId="0" borderId="0" xfId="2" applyNumberFormat="1" applyFont="1" applyFill="1"/>
    <xf numFmtId="167" fontId="0" fillId="0" borderId="0" xfId="0" applyNumberFormat="1" applyFill="1"/>
    <xf numFmtId="164" fontId="0" fillId="0" borderId="0" xfId="0" applyNumberFormat="1" applyFill="1"/>
    <xf numFmtId="167" fontId="7" fillId="18" borderId="0" xfId="2" applyNumberFormat="1" applyFont="1" applyFill="1"/>
    <xf numFmtId="0" fontId="18" fillId="0" borderId="5" xfId="0" applyFont="1" applyBorder="1" applyAlignment="1">
      <alignment horizontal="center" vertical="center"/>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applyAlignment="1">
      <alignment horizontal="center" vertical="center"/>
    </xf>
    <xf numFmtId="0" fontId="8" fillId="0" borderId="2" xfId="0" applyFont="1" applyBorder="1" applyAlignment="1">
      <alignment horizontal="center"/>
    </xf>
    <xf numFmtId="0" fontId="8" fillId="0" borderId="3" xfId="0" applyFont="1" applyBorder="1" applyAlignment="1">
      <alignment horizontal="center"/>
    </xf>
    <xf numFmtId="44" fontId="8" fillId="0" borderId="2" xfId="0" applyNumberFormat="1" applyFont="1" applyBorder="1" applyAlignment="1">
      <alignment horizontal="center"/>
    </xf>
    <xf numFmtId="164" fontId="0" fillId="0" borderId="15"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0" fillId="0" borderId="5" xfId="0" applyBorder="1" applyAlignment="1">
      <alignment horizontal="center" wrapText="1"/>
    </xf>
    <xf numFmtId="0" fontId="0" fillId="0" borderId="6" xfId="0" applyBorder="1" applyAlignment="1">
      <alignment horizontal="center" wrapText="1"/>
    </xf>
    <xf numFmtId="0" fontId="0" fillId="0" borderId="7" xfId="0" applyBorder="1" applyAlignment="1">
      <alignment horizontal="center" wrapText="1"/>
    </xf>
    <xf numFmtId="0" fontId="0" fillId="0" borderId="4" xfId="0" applyBorder="1" applyAlignment="1">
      <alignment horizontal="center" wrapText="1"/>
    </xf>
    <xf numFmtId="0" fontId="0" fillId="0" borderId="0" xfId="0" applyBorder="1" applyAlignment="1">
      <alignment horizontal="center" wrapText="1"/>
    </xf>
    <xf numFmtId="0" fontId="0" fillId="0" borderId="8" xfId="0" applyBorder="1" applyAlignment="1">
      <alignment horizontal="center" wrapText="1"/>
    </xf>
    <xf numFmtId="0" fontId="0" fillId="0" borderId="9" xfId="0" applyBorder="1" applyAlignment="1">
      <alignment horizontal="center" wrapText="1"/>
    </xf>
    <xf numFmtId="0" fontId="0" fillId="0" borderId="10" xfId="0" applyBorder="1" applyAlignment="1">
      <alignment horizontal="center" wrapText="1"/>
    </xf>
    <xf numFmtId="0" fontId="0" fillId="0" borderId="11" xfId="0" applyBorder="1" applyAlignment="1">
      <alignment horizontal="center" wrapText="1"/>
    </xf>
    <xf numFmtId="0" fontId="0" fillId="0" borderId="2" xfId="0" applyBorder="1" applyAlignment="1">
      <alignment horizontal="center"/>
    </xf>
    <xf numFmtId="0" fontId="0" fillId="0" borderId="12" xfId="0" applyBorder="1" applyAlignment="1">
      <alignment horizontal="center"/>
    </xf>
    <xf numFmtId="0" fontId="0" fillId="0" borderId="3" xfId="0" applyBorder="1" applyAlignment="1">
      <alignment horizontal="center"/>
    </xf>
    <xf numFmtId="0" fontId="0" fillId="0" borderId="5" xfId="0" applyBorder="1" applyAlignment="1">
      <alignment horizontal="center"/>
    </xf>
    <xf numFmtId="0" fontId="0" fillId="0" borderId="7" xfId="0" applyBorder="1" applyAlignment="1">
      <alignment horizontal="center"/>
    </xf>
    <xf numFmtId="0" fontId="0" fillId="0" borderId="6" xfId="0" applyBorder="1" applyAlignment="1">
      <alignment horizontal="center"/>
    </xf>
    <xf numFmtId="0" fontId="9" fillId="0" borderId="9" xfId="0" applyFont="1" applyBorder="1" applyAlignment="1">
      <alignment horizontal="center"/>
    </xf>
    <xf numFmtId="0" fontId="9" fillId="0" borderId="10" xfId="0" applyFont="1" applyBorder="1" applyAlignment="1">
      <alignment horizontal="center"/>
    </xf>
    <xf numFmtId="0" fontId="9" fillId="0" borderId="11" xfId="0" applyFont="1" applyBorder="1" applyAlignment="1">
      <alignment horizontal="center"/>
    </xf>
    <xf numFmtId="0" fontId="0" fillId="6" borderId="0" xfId="0" applyFill="1" applyBorder="1" applyAlignment="1">
      <alignment wrapText="1"/>
    </xf>
    <xf numFmtId="44" fontId="0" fillId="8" borderId="23" xfId="0" applyNumberFormat="1" applyFill="1" applyBorder="1"/>
    <xf numFmtId="44" fontId="0" fillId="3" borderId="22" xfId="0" applyNumberFormat="1" applyFill="1" applyBorder="1"/>
    <xf numFmtId="168" fontId="0" fillId="8" borderId="22" xfId="2" applyNumberFormat="1" applyFont="1" applyFill="1" applyBorder="1" applyAlignment="1">
      <alignment wrapText="1"/>
    </xf>
    <xf numFmtId="9" fontId="0" fillId="3" borderId="24" xfId="2" applyFont="1" applyFill="1" applyBorder="1"/>
    <xf numFmtId="0" fontId="0" fillId="6" borderId="1" xfId="0" applyFill="1" applyBorder="1" applyAlignment="1">
      <alignment wrapText="1"/>
    </xf>
    <xf numFmtId="0" fontId="0" fillId="3" borderId="1" xfId="0" applyFill="1" applyBorder="1" applyAlignment="1">
      <alignment wrapText="1"/>
    </xf>
    <xf numFmtId="164" fontId="0" fillId="8" borderId="4" xfId="0" applyNumberFormat="1" applyFill="1" applyBorder="1" applyAlignment="1">
      <alignment horizontal="center"/>
    </xf>
    <xf numFmtId="0" fontId="0" fillId="3" borderId="4" xfId="0" applyFill="1" applyBorder="1" applyAlignment="1">
      <alignment horizontal="center"/>
    </xf>
  </cellXfs>
  <cellStyles count="9">
    <cellStyle name="Días laborables" xfId="6" xr:uid="{00000000-0005-0000-0000-000000000000}"/>
    <cellStyle name="Moneda" xfId="8" builtinId="4"/>
    <cellStyle name="MostrarAño" xfId="4" xr:uid="{00000000-0005-0000-0000-000004000000}"/>
    <cellStyle name="Normal" xfId="0" builtinId="0"/>
    <cellStyle name="Normal 2" xfId="1" xr:uid="{00000000-0005-0000-0000-000006000000}"/>
    <cellStyle name="Números de día" xfId="7" xr:uid="{00000000-0005-0000-0000-000007000000}"/>
    <cellStyle name="Porcentaje" xfId="2" builtinId="5"/>
    <cellStyle name="TextoEnfatizado" xfId="5" xr:uid="{00000000-0005-0000-0000-000009000000}"/>
    <cellStyle name="TítuloMes" xfId="3" xr:uid="{00000000-0005-0000-0000-00000A000000}"/>
  </cellStyles>
  <dxfs count="0"/>
  <tableStyles count="0" defaultTableStyle="TableStyleMedium2" defaultPivotStyle="PivotStyleLight16"/>
  <colors>
    <mruColors>
      <color rgb="FFE21E5B"/>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9567364734066398E-2"/>
          <c:y val="0.1343609970719451"/>
          <c:w val="0.93043263526593356"/>
          <c:h val="0.80754593104932149"/>
        </c:manualLayout>
      </c:layout>
      <c:lineChart>
        <c:grouping val="standard"/>
        <c:varyColors val="0"/>
        <c:ser>
          <c:idx val="0"/>
          <c:order val="0"/>
          <c:tx>
            <c:strRef>
              <c:f>'Junio 2021'!#REF!</c:f>
              <c:strCache>
                <c:ptCount val="1"/>
                <c:pt idx="0">
                  <c:v>#REF!</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dLbls>
            <c:dLbl>
              <c:idx val="9"/>
              <c:layout>
                <c:manualLayout>
                  <c:x val="-3.0862141123480655E-2"/>
                  <c:y val="-2.1531128849634484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511-467E-AF65-3B1E7017958C}"/>
                </c:ext>
              </c:extLst>
            </c:dLbl>
            <c:dLbl>
              <c:idx val="10"/>
              <c:layout>
                <c:manualLayout>
                  <c:x val="-2.992053528568751E-2"/>
                  <c:y val="-2.4071132294434364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511-467E-AF65-3B1E7017958C}"/>
                </c:ext>
              </c:extLst>
            </c:dLbl>
            <c:dLbl>
              <c:idx val="11"/>
              <c:layout>
                <c:manualLayout>
                  <c:x val="-2.8979670578030504E-2"/>
                  <c:y val="-2.2824566505815217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511-467E-AF65-3B1E7017958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50000"/>
                        <a:lumOff val="50000"/>
                      </a:schemeClr>
                    </a:solidFill>
                    <a:latin typeface="+mn-lt"/>
                    <a:ea typeface="+mn-ea"/>
                    <a:cs typeface="+mn-cs"/>
                  </a:defRPr>
                </a:pPr>
                <a:endParaRPr lang="es-MX"/>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'Junio 2021'!$Q$10:$AF$10</c:f>
              <c:strCache>
                <c:ptCount val="16"/>
                <c:pt idx="0">
                  <c:v>CIERRE 2017</c:v>
                </c:pt>
                <c:pt idx="1">
                  <c:v>CIERRE 2018</c:v>
                </c:pt>
                <c:pt idx="2">
                  <c:v>CIERRE 2019</c:v>
                </c:pt>
                <c:pt idx="3">
                  <c:v>CIERRE 2020</c:v>
                </c:pt>
                <c:pt idx="4">
                  <c:v>ene-21</c:v>
                </c:pt>
                <c:pt idx="5">
                  <c:v>feb-21</c:v>
                </c:pt>
                <c:pt idx="6">
                  <c:v>mar-21</c:v>
                </c:pt>
                <c:pt idx="7">
                  <c:v>abr-21</c:v>
                </c:pt>
                <c:pt idx="8">
                  <c:v>may-21</c:v>
                </c:pt>
                <c:pt idx="9">
                  <c:v>jun-21</c:v>
                </c:pt>
                <c:pt idx="10">
                  <c:v>jul-21</c:v>
                </c:pt>
                <c:pt idx="11">
                  <c:v>ago-21</c:v>
                </c:pt>
                <c:pt idx="12">
                  <c:v>sep-21</c:v>
                </c:pt>
                <c:pt idx="13">
                  <c:v>oct-21</c:v>
                </c:pt>
                <c:pt idx="14">
                  <c:v>nov-21</c:v>
                </c:pt>
                <c:pt idx="15">
                  <c:v>dic-21</c:v>
                </c:pt>
              </c:strCache>
            </c:strRef>
          </c:cat>
          <c:val>
            <c:numRef>
              <c:f>'Junio 2021'!#REF!</c:f>
              <c:numCache>
                <c:formatCode>General</c:formatCode>
                <c:ptCount val="1"/>
                <c:pt idx="0">
                  <c:v>1</c:v>
                </c:pt>
              </c:numCache>
            </c:numRef>
          </c:val>
          <c:smooth val="0"/>
          <c:extLst>
            <c:ext xmlns:c16="http://schemas.microsoft.com/office/drawing/2014/chart" uri="{C3380CC4-5D6E-409C-BE32-E72D297353CC}">
              <c16:uniqueId val="{00000003-7511-467E-AF65-3B1E7017958C}"/>
            </c:ext>
          </c:extLst>
        </c:ser>
        <c:ser>
          <c:idx val="1"/>
          <c:order val="1"/>
          <c:tx>
            <c:strRef>
              <c:f>'Junio 2021'!$P$76</c:f>
              <c:strCache>
                <c:ptCount val="1"/>
                <c:pt idx="0">
                  <c:v>VALOR TOTAL DE TODAS LAS INVERSIONES (PATRIMONIO)</c:v>
                </c:pt>
              </c:strCache>
            </c:strRef>
          </c:tx>
          <c:spPr>
            <a:ln w="22225" cap="rnd">
              <a:solidFill>
                <a:schemeClr val="accent2"/>
              </a:solidFill>
              <a:round/>
            </a:ln>
            <a:effectLst/>
          </c:spPr>
          <c:marker>
            <c:symbol val="square"/>
            <c:size val="6"/>
            <c:spPr>
              <a:solidFill>
                <a:schemeClr val="accent2"/>
              </a:solidFill>
              <a:ln w="9525">
                <a:solidFill>
                  <a:schemeClr val="accent2"/>
                </a:solidFill>
                <a:round/>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50000"/>
                        <a:lumOff val="50000"/>
                      </a:schemeClr>
                    </a:solidFill>
                    <a:latin typeface="+mn-lt"/>
                    <a:ea typeface="+mn-ea"/>
                    <a:cs typeface="+mn-cs"/>
                  </a:defRPr>
                </a:pPr>
                <a:endParaRPr lang="es-MX"/>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'Junio 2021'!$Q$10:$AF$10</c:f>
              <c:strCache>
                <c:ptCount val="16"/>
                <c:pt idx="0">
                  <c:v>CIERRE 2017</c:v>
                </c:pt>
                <c:pt idx="1">
                  <c:v>CIERRE 2018</c:v>
                </c:pt>
                <c:pt idx="2">
                  <c:v>CIERRE 2019</c:v>
                </c:pt>
                <c:pt idx="3">
                  <c:v>CIERRE 2020</c:v>
                </c:pt>
                <c:pt idx="4">
                  <c:v>ene-21</c:v>
                </c:pt>
                <c:pt idx="5">
                  <c:v>feb-21</c:v>
                </c:pt>
                <c:pt idx="6">
                  <c:v>mar-21</c:v>
                </c:pt>
                <c:pt idx="7">
                  <c:v>abr-21</c:v>
                </c:pt>
                <c:pt idx="8">
                  <c:v>may-21</c:v>
                </c:pt>
                <c:pt idx="9">
                  <c:v>jun-21</c:v>
                </c:pt>
                <c:pt idx="10">
                  <c:v>jul-21</c:v>
                </c:pt>
                <c:pt idx="11">
                  <c:v>ago-21</c:v>
                </c:pt>
                <c:pt idx="12">
                  <c:v>sep-21</c:v>
                </c:pt>
                <c:pt idx="13">
                  <c:v>oct-21</c:v>
                </c:pt>
                <c:pt idx="14">
                  <c:v>nov-21</c:v>
                </c:pt>
                <c:pt idx="15">
                  <c:v>dic-21</c:v>
                </c:pt>
              </c:strCache>
            </c:strRef>
          </c:cat>
          <c:val>
            <c:numRef>
              <c:f>'Junio 2021'!$Q$76:$AF$76</c:f>
              <c:numCache>
                <c:formatCode>"$"#,##0.00</c:formatCode>
                <c:ptCount val="16"/>
                <c:pt idx="0">
                  <c:v>28312</c:v>
                </c:pt>
                <c:pt idx="1">
                  <c:v>98607.43</c:v>
                </c:pt>
                <c:pt idx="2">
                  <c:v>444770.05</c:v>
                </c:pt>
                <c:pt idx="3">
                  <c:v>635700</c:v>
                </c:pt>
                <c:pt idx="4">
                  <c:v>651343.06000000006</c:v>
                </c:pt>
                <c:pt idx="5">
                  <c:v>677846.87000000011</c:v>
                </c:pt>
                <c:pt idx="6">
                  <c:v>704742</c:v>
                </c:pt>
                <c:pt idx="7">
                  <c:v>759328</c:v>
                </c:pt>
                <c:pt idx="8">
                  <c:v>758160</c:v>
                </c:pt>
                <c:pt idx="9">
                  <c:v>775000</c:v>
                </c:pt>
                <c:pt idx="10">
                  <c:v>802215.50846568518</c:v>
                </c:pt>
                <c:pt idx="11">
                  <c:v>827853.17210960179</c:v>
                </c:pt>
                <c:pt idx="12">
                  <c:v>853926.67603546497</c:v>
                </c:pt>
                <c:pt idx="13">
                  <c:v>880443.42952806782</c:v>
                </c:pt>
                <c:pt idx="14">
                  <c:v>907410.96783004492</c:v>
                </c:pt>
                <c:pt idx="15">
                  <c:v>934836.95428315562</c:v>
                </c:pt>
              </c:numCache>
            </c:numRef>
          </c:val>
          <c:smooth val="0"/>
          <c:extLst>
            <c:ext xmlns:c16="http://schemas.microsoft.com/office/drawing/2014/chart" uri="{C3380CC4-5D6E-409C-BE32-E72D297353CC}">
              <c16:uniqueId val="{00000004-7511-467E-AF65-3B1E7017958C}"/>
            </c:ext>
          </c:extLst>
        </c:ser>
        <c:dLbls>
          <c:dLblPos val="t"/>
          <c:showLegendKey val="0"/>
          <c:showVal val="1"/>
          <c:showCatName val="0"/>
          <c:showSerName val="0"/>
          <c:showPercent val="0"/>
          <c:showBubbleSize val="0"/>
        </c:dLbls>
        <c:marker val="1"/>
        <c:smooth val="0"/>
        <c:axId val="678530672"/>
        <c:axId val="678532632"/>
      </c:lineChart>
      <c:catAx>
        <c:axId val="67853067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cap="all" spc="120" normalizeH="0" baseline="0">
                <a:solidFill>
                  <a:schemeClr val="tx1">
                    <a:lumMod val="65000"/>
                    <a:lumOff val="35000"/>
                  </a:schemeClr>
                </a:solidFill>
                <a:latin typeface="+mn-lt"/>
                <a:ea typeface="+mn-ea"/>
                <a:cs typeface="+mn-cs"/>
              </a:defRPr>
            </a:pPr>
            <a:endParaRPr lang="es-MX"/>
          </a:p>
        </c:txPr>
        <c:crossAx val="678532632"/>
        <c:crosses val="autoZero"/>
        <c:auto val="1"/>
        <c:lblAlgn val="ctr"/>
        <c:lblOffset val="100"/>
        <c:noMultiLvlLbl val="0"/>
      </c:catAx>
      <c:valAx>
        <c:axId val="67853263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MX"/>
          </a:p>
        </c:txPr>
        <c:crossAx val="678530672"/>
        <c:crosses val="autoZero"/>
        <c:crossBetween val="between"/>
      </c:valAx>
      <c:spPr>
        <a:no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15</xdr:col>
      <xdr:colOff>2438846</xdr:colOff>
      <xdr:row>78</xdr:row>
      <xdr:rowOff>44825</xdr:rowOff>
    </xdr:from>
    <xdr:to>
      <xdr:col>31</xdr:col>
      <xdr:colOff>851646</xdr:colOff>
      <xdr:row>127</xdr:row>
      <xdr:rowOff>32656</xdr:rowOff>
    </xdr:to>
    <xdr:graphicFrame macro="">
      <xdr:nvGraphicFramePr>
        <xdr:cNvPr id="14" name="Gráfico 13">
          <a:extLst>
            <a:ext uri="{FF2B5EF4-FFF2-40B4-BE49-F238E27FC236}">
              <a16:creationId xmlns:a16="http://schemas.microsoft.com/office/drawing/2014/main" id="{D7AFE4A0-A8D8-46D6-A501-92040422E9D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31</xdr:col>
      <xdr:colOff>108859</xdr:colOff>
      <xdr:row>89</xdr:row>
      <xdr:rowOff>40702</xdr:rowOff>
    </xdr:from>
    <xdr:ext cx="827021" cy="264560"/>
    <xdr:sp macro="" textlink="">
      <xdr:nvSpPr>
        <xdr:cNvPr id="27" name="CuadroTexto 26">
          <a:extLst>
            <a:ext uri="{FF2B5EF4-FFF2-40B4-BE49-F238E27FC236}">
              <a16:creationId xmlns:a16="http://schemas.microsoft.com/office/drawing/2014/main" id="{7C65D999-1550-4EC7-86E0-A9F710946C2B}"/>
            </a:ext>
          </a:extLst>
        </xdr:cNvPr>
        <xdr:cNvSpPr txBox="1"/>
      </xdr:nvSpPr>
      <xdr:spPr>
        <a:xfrm>
          <a:off x="47930709" y="21179852"/>
          <a:ext cx="82702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MX" sz="1100"/>
            <a:t>$1,000,000</a:t>
          </a:r>
        </a:p>
      </xdr:txBody>
    </xdr:sp>
    <xdr:clientData/>
  </xdr:oneCellAnchor>
  <xdr:twoCellAnchor>
    <xdr:from>
      <xdr:col>18</xdr:col>
      <xdr:colOff>125557</xdr:colOff>
      <xdr:row>88</xdr:row>
      <xdr:rowOff>27421</xdr:rowOff>
    </xdr:from>
    <xdr:to>
      <xdr:col>31</xdr:col>
      <xdr:colOff>567170</xdr:colOff>
      <xdr:row>100</xdr:row>
      <xdr:rowOff>38966</xdr:rowOff>
    </xdr:to>
    <xdr:cxnSp macro="">
      <xdr:nvCxnSpPr>
        <xdr:cNvPr id="33" name="Conector recto de flecha 32">
          <a:extLst>
            <a:ext uri="{FF2B5EF4-FFF2-40B4-BE49-F238E27FC236}">
              <a16:creationId xmlns:a16="http://schemas.microsoft.com/office/drawing/2014/main" id="{4E2AF9E1-35ED-4723-AB37-53D2B9632272}"/>
            </a:ext>
          </a:extLst>
        </xdr:cNvPr>
        <xdr:cNvCxnSpPr/>
      </xdr:nvCxnSpPr>
      <xdr:spPr>
        <a:xfrm flipV="1">
          <a:off x="25716057" y="17267671"/>
          <a:ext cx="12236738" cy="2297545"/>
        </a:xfrm>
        <a:prstGeom prst="straightConnector1">
          <a:avLst/>
        </a:prstGeom>
        <a:ln w="38100">
          <a:solidFill>
            <a:schemeClr val="accent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523875</xdr:colOff>
      <xdr:row>95</xdr:row>
      <xdr:rowOff>63499</xdr:rowOff>
    </xdr:from>
    <xdr:ext cx="6985000" cy="405432"/>
    <xdr:sp macro="" textlink="">
      <xdr:nvSpPr>
        <xdr:cNvPr id="34" name="CuadroTexto 33">
          <a:extLst>
            <a:ext uri="{FF2B5EF4-FFF2-40B4-BE49-F238E27FC236}">
              <a16:creationId xmlns:a16="http://schemas.microsoft.com/office/drawing/2014/main" id="{039A499E-35A0-4EBC-B2DB-C068CA2562FA}"/>
            </a:ext>
          </a:extLst>
        </xdr:cNvPr>
        <xdr:cNvSpPr txBox="1"/>
      </xdr:nvSpPr>
      <xdr:spPr>
        <a:xfrm>
          <a:off x="31654750" y="18637249"/>
          <a:ext cx="6985000"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MX" sz="2000"/>
            <a:t>FLECHA AZUL</a:t>
          </a:r>
          <a:r>
            <a:rPr lang="es-MX" sz="2000" baseline="0"/>
            <a:t> MUESTRA LA PROYECCIÓN INICIAL. ES LA META</a:t>
          </a:r>
          <a:endParaRPr lang="es-MX" sz="2000"/>
        </a:p>
      </xdr:txBody>
    </xdr:sp>
    <xdr:clientData/>
  </xdr:oneCellAnchor>
  <xdr:oneCellAnchor>
    <xdr:from>
      <xdr:col>15</xdr:col>
      <xdr:colOff>5111750</xdr:colOff>
      <xdr:row>89</xdr:row>
      <xdr:rowOff>9524</xdr:rowOff>
    </xdr:from>
    <xdr:ext cx="9232900" cy="718530"/>
    <xdr:sp macro="" textlink="">
      <xdr:nvSpPr>
        <xdr:cNvPr id="35" name="CuadroTexto 34">
          <a:extLst>
            <a:ext uri="{FF2B5EF4-FFF2-40B4-BE49-F238E27FC236}">
              <a16:creationId xmlns:a16="http://schemas.microsoft.com/office/drawing/2014/main" id="{8950854B-17A4-4ED5-9B71-54C5FAD813A3}"/>
            </a:ext>
          </a:extLst>
        </xdr:cNvPr>
        <xdr:cNvSpPr txBox="1"/>
      </xdr:nvSpPr>
      <xdr:spPr>
        <a:xfrm>
          <a:off x="23749000" y="17440274"/>
          <a:ext cx="9232900" cy="7185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MX" sz="2000"/>
            <a:t>LÍNEA ROJA ES LA GRÁFICA CON EL COMPORTAMIENTO DE LAS INVERSIONES AÑO</a:t>
          </a:r>
          <a:r>
            <a:rPr lang="es-MX" sz="2000" baseline="0"/>
            <a:t> CON AÑO, MES CON MES.</a:t>
          </a:r>
          <a:endParaRPr lang="es-MX" sz="20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02E9F-FEF0-4BBC-88D3-0C005857DC92}">
  <sheetPr>
    <pageSetUpPr autoPageBreaks="0"/>
  </sheetPr>
  <dimension ref="B1:AV508"/>
  <sheetViews>
    <sheetView tabSelected="1" zoomScale="55" zoomScaleNormal="55" workbookViewId="0">
      <selection activeCell="F28" sqref="F28"/>
    </sheetView>
  </sheetViews>
  <sheetFormatPr baseColWidth="10" defaultColWidth="9.26953125" defaultRowHeight="14.5" x14ac:dyDescent="0.35"/>
  <cols>
    <col min="2" max="2" width="56.1796875" customWidth="1"/>
    <col min="3" max="3" width="18.36328125" bestFit="1" customWidth="1"/>
    <col min="4" max="4" width="13.1796875" bestFit="1" customWidth="1"/>
    <col min="5" max="5" width="19.26953125" customWidth="1"/>
    <col min="6" max="6" width="16.81640625" bestFit="1" customWidth="1"/>
    <col min="7" max="7" width="14.26953125" bestFit="1" customWidth="1"/>
    <col min="8" max="8" width="16.7265625" customWidth="1"/>
    <col min="9" max="9" width="14.7265625" customWidth="1"/>
    <col min="10" max="10" width="14.81640625" customWidth="1"/>
    <col min="11" max="11" width="14.26953125" customWidth="1"/>
    <col min="12" max="13" width="17.1796875" customWidth="1"/>
    <col min="14" max="14" width="11.7265625" style="24" customWidth="1"/>
    <col min="15" max="15" width="12.1796875" style="80" bestFit="1" customWidth="1"/>
    <col min="16" max="16" width="73.6328125" bestFit="1" customWidth="1"/>
    <col min="17" max="17" width="12.81640625" bestFit="1" customWidth="1"/>
    <col min="18" max="18" width="13.26953125" customWidth="1"/>
    <col min="19" max="20" width="14" customWidth="1"/>
    <col min="21" max="21" width="12.54296875" customWidth="1"/>
    <col min="22" max="23" width="12.7265625" customWidth="1"/>
    <col min="24" max="24" width="13.26953125" customWidth="1"/>
    <col min="25" max="25" width="12.54296875" customWidth="1"/>
    <col min="26" max="26" width="12.36328125" bestFit="1" customWidth="1"/>
    <col min="27" max="27" width="12.7265625" customWidth="1"/>
    <col min="28" max="28" width="12.90625" bestFit="1" customWidth="1"/>
    <col min="29" max="29" width="13.7265625" customWidth="1"/>
    <col min="30" max="32" width="12.7265625" customWidth="1"/>
    <col min="33" max="33" width="13.54296875" bestFit="1" customWidth="1"/>
    <col min="34" max="34" width="15.453125" style="24" customWidth="1"/>
    <col min="43" max="43" width="14.453125" bestFit="1" customWidth="1"/>
    <col min="44" max="44" width="19.26953125" bestFit="1" customWidth="1"/>
    <col min="45" max="45" width="32.36328125" bestFit="1" customWidth="1"/>
    <col min="46" max="46" width="17.81640625" bestFit="1" customWidth="1"/>
    <col min="47" max="47" width="21.26953125" bestFit="1" customWidth="1"/>
    <col min="48" max="48" width="27.36328125" bestFit="1" customWidth="1"/>
  </cols>
  <sheetData>
    <row r="1" spans="2:48" x14ac:dyDescent="0.35">
      <c r="N1" s="179"/>
      <c r="O1" s="186"/>
      <c r="AG1" s="51"/>
    </row>
    <row r="2" spans="2:48" ht="15" thickBot="1" x14ac:dyDescent="0.4">
      <c r="N2" s="179"/>
      <c r="O2" s="186"/>
      <c r="AG2" s="51"/>
    </row>
    <row r="3" spans="2:48" ht="28.5" x14ac:dyDescent="0.65">
      <c r="B3" s="193" t="s">
        <v>71</v>
      </c>
      <c r="C3" s="194"/>
      <c r="D3" s="194"/>
      <c r="E3" s="194"/>
      <c r="F3" s="194"/>
      <c r="G3" s="194"/>
      <c r="H3" s="194"/>
      <c r="I3" s="194"/>
      <c r="J3" s="194"/>
      <c r="K3" s="194"/>
      <c r="L3" s="195"/>
      <c r="M3" s="178"/>
      <c r="N3" s="180"/>
      <c r="O3" s="187"/>
      <c r="P3" s="193" t="s">
        <v>75</v>
      </c>
      <c r="Q3" s="194"/>
      <c r="R3" s="194"/>
      <c r="S3" s="194"/>
      <c r="T3" s="194"/>
      <c r="U3" s="194"/>
      <c r="V3" s="194"/>
      <c r="W3" s="194"/>
      <c r="X3" s="194"/>
      <c r="Y3" s="194"/>
      <c r="Z3" s="194"/>
      <c r="AA3" s="194"/>
      <c r="AB3" s="194"/>
      <c r="AC3" s="194"/>
      <c r="AD3" s="194"/>
      <c r="AE3" s="194"/>
      <c r="AF3" s="194"/>
      <c r="AG3" s="194"/>
      <c r="AP3" s="193" t="s">
        <v>76</v>
      </c>
      <c r="AQ3" s="194"/>
      <c r="AR3" s="194"/>
      <c r="AS3" s="194"/>
      <c r="AT3" s="194"/>
      <c r="AU3" s="194"/>
      <c r="AV3" s="194"/>
    </row>
    <row r="4" spans="2:48" ht="29" thickBot="1" x14ac:dyDescent="0.7">
      <c r="B4" s="196"/>
      <c r="C4" s="197"/>
      <c r="D4" s="197"/>
      <c r="E4" s="197"/>
      <c r="F4" s="197"/>
      <c r="G4" s="197"/>
      <c r="H4" s="197"/>
      <c r="I4" s="197"/>
      <c r="J4" s="197"/>
      <c r="K4" s="197"/>
      <c r="L4" s="198"/>
      <c r="M4" s="178"/>
      <c r="N4" s="180"/>
      <c r="O4" s="187"/>
      <c r="P4" s="196"/>
      <c r="Q4" s="197"/>
      <c r="R4" s="197"/>
      <c r="S4" s="197"/>
      <c r="T4" s="197"/>
      <c r="U4" s="197"/>
      <c r="V4" s="197"/>
      <c r="W4" s="197"/>
      <c r="X4" s="197"/>
      <c r="Y4" s="197"/>
      <c r="Z4" s="197"/>
      <c r="AA4" s="197"/>
      <c r="AB4" s="197"/>
      <c r="AC4" s="197"/>
      <c r="AD4" s="197"/>
      <c r="AE4" s="197"/>
      <c r="AF4" s="197"/>
      <c r="AG4" s="197"/>
      <c r="AP4" s="196"/>
      <c r="AQ4" s="197"/>
      <c r="AR4" s="197"/>
      <c r="AS4" s="197"/>
      <c r="AT4" s="197"/>
      <c r="AU4" s="197"/>
      <c r="AV4" s="197"/>
    </row>
    <row r="5" spans="2:48" ht="26.5" thickBot="1" x14ac:dyDescent="0.65">
      <c r="D5" s="220" t="s">
        <v>35</v>
      </c>
      <c r="E5" s="221"/>
      <c r="F5" s="221"/>
      <c r="G5" s="222"/>
      <c r="H5" s="153"/>
      <c r="I5" s="151"/>
      <c r="N5" s="180"/>
      <c r="O5" s="187"/>
      <c r="Q5" s="208" t="s">
        <v>70</v>
      </c>
      <c r="R5" s="209"/>
      <c r="S5" s="209"/>
      <c r="T5" s="210"/>
      <c r="AQ5" s="151"/>
      <c r="AT5" s="15"/>
    </row>
    <row r="6" spans="2:48" ht="15" thickBot="1" x14ac:dyDescent="0.4">
      <c r="D6" s="217" t="s">
        <v>34</v>
      </c>
      <c r="E6" s="218"/>
      <c r="F6" s="217" t="s">
        <v>36</v>
      </c>
      <c r="G6" s="219"/>
      <c r="H6" s="3"/>
      <c r="I6" s="3"/>
      <c r="J6" s="215" t="s">
        <v>37</v>
      </c>
      <c r="K6" s="216"/>
      <c r="N6" s="180"/>
      <c r="O6" s="187"/>
      <c r="Q6" s="208"/>
      <c r="R6" s="209"/>
      <c r="S6" s="209"/>
      <c r="T6" s="210"/>
    </row>
    <row r="7" spans="2:48" ht="15" thickBot="1" x14ac:dyDescent="0.4">
      <c r="D7" s="155" t="s">
        <v>0</v>
      </c>
      <c r="E7" s="156" t="s">
        <v>1</v>
      </c>
      <c r="F7" s="159" t="s">
        <v>0</v>
      </c>
      <c r="G7" s="156" t="s">
        <v>1</v>
      </c>
      <c r="H7" s="154"/>
      <c r="I7" s="37"/>
      <c r="J7" s="199" t="s">
        <v>38</v>
      </c>
      <c r="K7" s="200"/>
      <c r="N7" s="180"/>
      <c r="O7" s="187"/>
      <c r="Q7" s="208"/>
      <c r="R7" s="209"/>
      <c r="S7" s="209"/>
      <c r="T7" s="210"/>
      <c r="U7" s="205" t="s">
        <v>68</v>
      </c>
      <c r="V7" s="206"/>
      <c r="W7" s="206"/>
      <c r="X7" s="206"/>
      <c r="Y7" s="206"/>
      <c r="Z7" s="206"/>
      <c r="AA7" s="206"/>
      <c r="AB7" s="206"/>
      <c r="AC7" s="206"/>
      <c r="AD7" s="207"/>
    </row>
    <row r="8" spans="2:48" ht="14.65" customHeight="1" thickBot="1" x14ac:dyDescent="0.4">
      <c r="B8" s="1"/>
      <c r="D8" s="157">
        <v>15000</v>
      </c>
      <c r="E8" s="158">
        <f>SUM(E10:E20)</f>
        <v>15000</v>
      </c>
      <c r="F8" s="160">
        <v>15000</v>
      </c>
      <c r="G8" s="158">
        <f>SUM(G10:G20)</f>
        <v>15000</v>
      </c>
      <c r="H8" s="154"/>
      <c r="I8" s="37"/>
      <c r="J8" s="201">
        <f>D8-E8</f>
        <v>0</v>
      </c>
      <c r="K8" s="200"/>
      <c r="N8" s="180"/>
      <c r="O8" s="187"/>
      <c r="Q8" s="208"/>
      <c r="R8" s="209"/>
      <c r="S8" s="209"/>
      <c r="T8" s="210"/>
      <c r="U8" s="208"/>
      <c r="V8" s="209"/>
      <c r="W8" s="209"/>
      <c r="X8" s="209"/>
      <c r="Y8" s="209"/>
      <c r="Z8" s="209"/>
      <c r="AA8" s="209"/>
      <c r="AB8" s="209"/>
      <c r="AC8" s="209"/>
      <c r="AD8" s="210"/>
      <c r="AR8" s="214" t="s">
        <v>26</v>
      </c>
      <c r="AS8" s="215"/>
      <c r="AT8" s="215"/>
      <c r="AU8" s="215"/>
      <c r="AV8" s="216"/>
    </row>
    <row r="9" spans="2:48" ht="15" customHeight="1" thickBot="1" x14ac:dyDescent="0.4">
      <c r="B9" s="161" t="s">
        <v>39</v>
      </c>
      <c r="C9" s="36"/>
      <c r="D9" s="95"/>
      <c r="E9" s="34"/>
      <c r="F9" s="40"/>
      <c r="G9" s="39"/>
      <c r="H9" s="38" t="s">
        <v>48</v>
      </c>
      <c r="I9" s="86" t="s">
        <v>47</v>
      </c>
      <c r="J9" s="34"/>
      <c r="O9" s="177" t="s">
        <v>72</v>
      </c>
      <c r="Q9" s="211"/>
      <c r="R9" s="212"/>
      <c r="S9" s="212"/>
      <c r="T9" s="213"/>
      <c r="U9" s="211"/>
      <c r="V9" s="212"/>
      <c r="W9" s="212"/>
      <c r="X9" s="212"/>
      <c r="Y9" s="212"/>
      <c r="Z9" s="212"/>
      <c r="AA9" s="212"/>
      <c r="AB9" s="212"/>
      <c r="AC9" s="212"/>
      <c r="AD9" s="213"/>
      <c r="AR9" s="19" t="s">
        <v>78</v>
      </c>
      <c r="AS9" s="2" t="s">
        <v>28</v>
      </c>
      <c r="AT9" s="5" t="s">
        <v>79</v>
      </c>
      <c r="AU9" s="6" t="s">
        <v>87</v>
      </c>
      <c r="AV9" s="19" t="s">
        <v>80</v>
      </c>
    </row>
    <row r="10" spans="2:48" ht="15" thickBot="1" x14ac:dyDescent="0.4">
      <c r="B10" s="43" t="s">
        <v>40</v>
      </c>
      <c r="C10" s="44"/>
      <c r="D10" s="52"/>
      <c r="E10" s="46">
        <v>1500</v>
      </c>
      <c r="F10" s="85"/>
      <c r="G10" s="45">
        <v>1500</v>
      </c>
      <c r="H10" s="162">
        <f t="shared" ref="H10:H20" si="0">G10+E10</f>
        <v>3000</v>
      </c>
      <c r="I10" s="163">
        <f t="shared" ref="I10:I20" si="1">H10/$J$10</f>
        <v>0.1</v>
      </c>
      <c r="J10" s="202">
        <f>SUM(E10:G20)</f>
        <v>30000</v>
      </c>
      <c r="N10" s="180"/>
      <c r="O10" s="192">
        <f>Z11/$Z$76</f>
        <v>2.4619354838709678E-2</v>
      </c>
      <c r="Q10" s="48" t="s">
        <v>5</v>
      </c>
      <c r="R10" s="112" t="s">
        <v>11</v>
      </c>
      <c r="S10" s="48" t="s">
        <v>23</v>
      </c>
      <c r="T10" s="16" t="s">
        <v>31</v>
      </c>
      <c r="U10" s="48">
        <v>44197</v>
      </c>
      <c r="V10" s="48">
        <v>44228</v>
      </c>
      <c r="W10" s="48">
        <v>44256</v>
      </c>
      <c r="X10" s="48">
        <v>44287</v>
      </c>
      <c r="Y10" s="48">
        <v>44317</v>
      </c>
      <c r="Z10" s="48">
        <v>44348</v>
      </c>
      <c r="AA10" s="48">
        <v>44378</v>
      </c>
      <c r="AB10" s="48">
        <v>44409</v>
      </c>
      <c r="AC10" s="48">
        <v>44440</v>
      </c>
      <c r="AD10" s="48">
        <v>44470</v>
      </c>
      <c r="AE10" s="48">
        <v>44501</v>
      </c>
      <c r="AF10" s="48">
        <v>44531</v>
      </c>
      <c r="AG10" s="48" t="s">
        <v>3</v>
      </c>
      <c r="AH10" s="172"/>
      <c r="AQ10" s="1"/>
      <c r="AR10" s="142">
        <v>0.04</v>
      </c>
      <c r="AS10" s="19" t="s">
        <v>4</v>
      </c>
      <c r="AT10" s="79">
        <f>Z11</f>
        <v>19080</v>
      </c>
      <c r="AU10" s="57">
        <f t="shared" ref="AU10:AU24" si="2">(AV10/12)*AT10</f>
        <v>572.4</v>
      </c>
      <c r="AV10" s="77">
        <v>0.36</v>
      </c>
    </row>
    <row r="11" spans="2:48" ht="15" customHeight="1" x14ac:dyDescent="0.35">
      <c r="B11" s="35" t="s">
        <v>42</v>
      </c>
      <c r="C11" s="168"/>
      <c r="D11" s="41"/>
      <c r="E11" s="42">
        <v>2000</v>
      </c>
      <c r="F11" s="88"/>
      <c r="G11" s="88">
        <v>2000</v>
      </c>
      <c r="H11" s="164">
        <f t="shared" si="0"/>
        <v>4000</v>
      </c>
      <c r="I11" s="165">
        <f t="shared" si="1"/>
        <v>0.13333333333333333</v>
      </c>
      <c r="J11" s="203"/>
      <c r="N11" s="180"/>
      <c r="O11" s="187"/>
      <c r="P11" s="177" t="s">
        <v>55</v>
      </c>
      <c r="Q11" s="131">
        <v>4150</v>
      </c>
      <c r="R11" s="114">
        <v>7150</v>
      </c>
      <c r="S11" s="65">
        <v>11150</v>
      </c>
      <c r="T11" s="131">
        <v>16150</v>
      </c>
      <c r="U11" s="73">
        <v>16400</v>
      </c>
      <c r="V11" s="73">
        <v>16780</v>
      </c>
      <c r="W11" s="73">
        <v>17300</v>
      </c>
      <c r="X11" s="73">
        <v>17940</v>
      </c>
      <c r="Y11" s="73">
        <v>18765</v>
      </c>
      <c r="Z11" s="97">
        <v>19080</v>
      </c>
      <c r="AA11" s="73"/>
      <c r="AB11" s="73"/>
      <c r="AC11" s="73"/>
      <c r="AD11" s="73"/>
      <c r="AE11" s="73"/>
      <c r="AF11" s="73"/>
      <c r="AG11" s="65"/>
      <c r="AH11" s="173"/>
      <c r="AQ11" s="1"/>
      <c r="AR11" s="143">
        <v>0.03</v>
      </c>
      <c r="AS11" s="14" t="s">
        <v>7</v>
      </c>
      <c r="AT11" s="7">
        <f>Z15</f>
        <v>17140</v>
      </c>
      <c r="AU11" s="57">
        <f>(AV11/12)*AT11</f>
        <v>57.13333333333334</v>
      </c>
      <c r="AV11" s="77">
        <v>0.04</v>
      </c>
    </row>
    <row r="12" spans="2:48" ht="14.5" customHeight="1" x14ac:dyDescent="0.35">
      <c r="B12" s="35" t="s">
        <v>41</v>
      </c>
      <c r="C12" s="168"/>
      <c r="D12" s="41"/>
      <c r="E12" s="42">
        <v>2500</v>
      </c>
      <c r="F12" s="88"/>
      <c r="G12" s="88">
        <v>2500</v>
      </c>
      <c r="H12" s="164">
        <f t="shared" si="0"/>
        <v>5000</v>
      </c>
      <c r="I12" s="165">
        <f t="shared" si="1"/>
        <v>0.16666666666666666</v>
      </c>
      <c r="J12" s="203"/>
      <c r="N12" s="181"/>
      <c r="O12" s="188"/>
      <c r="P12" s="129" t="s">
        <v>52</v>
      </c>
      <c r="Q12" s="61">
        <v>4000</v>
      </c>
      <c r="R12" s="113">
        <v>3000</v>
      </c>
      <c r="S12" s="63">
        <v>4000</v>
      </c>
      <c r="T12" s="61">
        <v>5000</v>
      </c>
      <c r="U12" s="61">
        <v>200</v>
      </c>
      <c r="V12" s="61">
        <v>200</v>
      </c>
      <c r="W12" s="61">
        <v>500</v>
      </c>
      <c r="X12" s="61">
        <v>600</v>
      </c>
      <c r="Y12" s="61">
        <v>800</v>
      </c>
      <c r="Z12" s="81">
        <v>300</v>
      </c>
      <c r="AA12" s="61"/>
      <c r="AB12" s="61"/>
      <c r="AC12" s="61"/>
      <c r="AD12" s="61"/>
      <c r="AE12" s="61"/>
      <c r="AF12" s="61"/>
      <c r="AG12" s="63"/>
      <c r="AH12" s="173"/>
      <c r="AQ12" s="1"/>
      <c r="AR12" s="143">
        <v>0.03</v>
      </c>
      <c r="AS12" s="14" t="s">
        <v>30</v>
      </c>
      <c r="AT12" s="7">
        <f>Z19</f>
        <v>21600</v>
      </c>
      <c r="AU12" s="57">
        <f t="shared" si="2"/>
        <v>90</v>
      </c>
      <c r="AV12" s="77">
        <v>0.05</v>
      </c>
    </row>
    <row r="13" spans="2:48" ht="14.5" customHeight="1" x14ac:dyDescent="0.35">
      <c r="B13" s="35" t="s">
        <v>43</v>
      </c>
      <c r="C13" s="168"/>
      <c r="D13" s="41"/>
      <c r="E13" s="42">
        <v>2500</v>
      </c>
      <c r="F13" s="88"/>
      <c r="G13" s="88">
        <v>2500</v>
      </c>
      <c r="H13" s="164">
        <f t="shared" si="0"/>
        <v>5000</v>
      </c>
      <c r="I13" s="165">
        <f t="shared" si="1"/>
        <v>0.16666666666666666</v>
      </c>
      <c r="J13" s="203"/>
      <c r="N13" s="182"/>
      <c r="P13" s="129" t="s">
        <v>53</v>
      </c>
      <c r="Q13" s="61">
        <v>0</v>
      </c>
      <c r="R13" s="113">
        <v>0</v>
      </c>
      <c r="S13" s="63">
        <v>0</v>
      </c>
      <c r="T13" s="61">
        <v>0</v>
      </c>
      <c r="U13" s="61">
        <f t="shared" ref="U13:Z13" si="3">U11-T11-U12</f>
        <v>50</v>
      </c>
      <c r="V13" s="61">
        <f t="shared" si="3"/>
        <v>180</v>
      </c>
      <c r="W13" s="61">
        <f t="shared" si="3"/>
        <v>20</v>
      </c>
      <c r="X13" s="61">
        <f t="shared" si="3"/>
        <v>40</v>
      </c>
      <c r="Y13" s="61">
        <f t="shared" si="3"/>
        <v>25</v>
      </c>
      <c r="Z13" s="13">
        <f t="shared" si="3"/>
        <v>15</v>
      </c>
      <c r="AA13" s="61"/>
      <c r="AB13" s="61"/>
      <c r="AC13" s="61"/>
      <c r="AD13" s="61"/>
      <c r="AE13" s="61"/>
      <c r="AF13" s="61"/>
      <c r="AG13" s="63">
        <f>SUM(S13:AE13)</f>
        <v>330</v>
      </c>
      <c r="AH13" s="173"/>
      <c r="AQ13" s="1"/>
      <c r="AR13" s="143">
        <v>0.15</v>
      </c>
      <c r="AS13" s="14" t="s">
        <v>27</v>
      </c>
      <c r="AT13" s="7">
        <f>Z23</f>
        <v>96132</v>
      </c>
      <c r="AU13" s="57">
        <f t="shared" si="2"/>
        <v>688.94599999999991</v>
      </c>
      <c r="AV13" s="77">
        <v>8.5999999999999993E-2</v>
      </c>
    </row>
    <row r="14" spans="2:48" ht="14" customHeight="1" thickBot="1" x14ac:dyDescent="0.4">
      <c r="B14" s="35" t="s">
        <v>50</v>
      </c>
      <c r="C14" s="168"/>
      <c r="D14" s="41"/>
      <c r="E14" s="42">
        <v>3000</v>
      </c>
      <c r="F14" s="88"/>
      <c r="G14" s="88">
        <v>3000</v>
      </c>
      <c r="H14" s="164">
        <f t="shared" si="0"/>
        <v>6000</v>
      </c>
      <c r="I14" s="165">
        <f t="shared" si="1"/>
        <v>0.2</v>
      </c>
      <c r="J14" s="203"/>
      <c r="N14" s="182"/>
      <c r="O14" s="192">
        <f>Z15/$Z$76</f>
        <v>2.2116129032258066E-2</v>
      </c>
      <c r="P14" s="130" t="s">
        <v>54</v>
      </c>
      <c r="Q14" s="62">
        <f>Q13/Q12</f>
        <v>0</v>
      </c>
      <c r="R14" s="118">
        <f>R13/R12</f>
        <v>0</v>
      </c>
      <c r="S14" s="104">
        <f>S13/S12</f>
        <v>0</v>
      </c>
      <c r="T14" s="92">
        <f>T13/T12</f>
        <v>0</v>
      </c>
      <c r="U14" s="92">
        <f t="shared" ref="U14" si="4">U13/U11</f>
        <v>3.0487804878048782E-3</v>
      </c>
      <c r="V14" s="92">
        <f t="shared" ref="V14:Y14" si="5">V13/V11</f>
        <v>1.0727056019070322E-2</v>
      </c>
      <c r="W14" s="92">
        <f t="shared" si="5"/>
        <v>1.1560693641618498E-3</v>
      </c>
      <c r="X14" s="92">
        <f t="shared" si="5"/>
        <v>2.229654403567447E-3</v>
      </c>
      <c r="Y14" s="92">
        <f t="shared" si="5"/>
        <v>1.3322675193178791E-3</v>
      </c>
      <c r="Z14" s="96">
        <f t="shared" ref="Z14" si="6">Z13/Z11</f>
        <v>7.8616352201257866E-4</v>
      </c>
      <c r="AA14" s="92"/>
      <c r="AB14" s="92"/>
      <c r="AC14" s="92"/>
      <c r="AD14" s="92"/>
      <c r="AE14" s="92"/>
      <c r="AF14" s="92"/>
      <c r="AG14" s="64"/>
      <c r="AH14" s="173"/>
      <c r="AQ14" s="1"/>
      <c r="AR14" s="143">
        <v>0.08</v>
      </c>
      <c r="AS14" s="14" t="s">
        <v>9</v>
      </c>
      <c r="AT14" s="7">
        <f>Z27</f>
        <v>17205</v>
      </c>
      <c r="AU14" s="57">
        <f t="shared" si="2"/>
        <v>215.06249999999997</v>
      </c>
      <c r="AV14" s="77">
        <v>0.15</v>
      </c>
    </row>
    <row r="15" spans="2:48" ht="15" customHeight="1" x14ac:dyDescent="0.35">
      <c r="B15" s="35" t="s">
        <v>49</v>
      </c>
      <c r="C15" s="168"/>
      <c r="D15" s="41"/>
      <c r="E15" s="42">
        <v>0</v>
      </c>
      <c r="F15" s="88"/>
      <c r="G15" s="88">
        <v>1500</v>
      </c>
      <c r="H15" s="164">
        <f t="shared" si="0"/>
        <v>1500</v>
      </c>
      <c r="I15" s="165">
        <f t="shared" si="1"/>
        <v>0.05</v>
      </c>
      <c r="J15" s="203"/>
      <c r="N15" s="180"/>
      <c r="O15" s="187"/>
      <c r="P15" s="177" t="s">
        <v>56</v>
      </c>
      <c r="Q15" s="131"/>
      <c r="R15" s="114">
        <v>3150</v>
      </c>
      <c r="S15" s="65">
        <v>5180</v>
      </c>
      <c r="T15" s="131">
        <v>15300</v>
      </c>
      <c r="U15" s="73">
        <v>16348</v>
      </c>
      <c r="V15" s="73">
        <v>16549</v>
      </c>
      <c r="W15" s="73">
        <v>16780</v>
      </c>
      <c r="X15" s="73">
        <v>17300</v>
      </c>
      <c r="Y15" s="73">
        <v>17940</v>
      </c>
      <c r="Z15" s="97">
        <v>17140</v>
      </c>
      <c r="AA15" s="73"/>
      <c r="AB15" s="26"/>
      <c r="AC15" s="26"/>
      <c r="AD15" s="26"/>
      <c r="AE15" s="26"/>
      <c r="AF15" s="26"/>
      <c r="AG15" s="65"/>
      <c r="AH15" s="173"/>
      <c r="AQ15" s="1"/>
      <c r="AR15" s="143">
        <v>0.06</v>
      </c>
      <c r="AS15" s="14" t="s">
        <v>6</v>
      </c>
      <c r="AT15" s="7">
        <f>Z31</f>
        <v>150530</v>
      </c>
      <c r="AU15" s="57">
        <f t="shared" si="2"/>
        <v>2508.8333333333335</v>
      </c>
      <c r="AV15" s="77">
        <v>0.2</v>
      </c>
    </row>
    <row r="16" spans="2:48" ht="16.149999999999999" customHeight="1" x14ac:dyDescent="0.35">
      <c r="B16" s="35" t="s">
        <v>44</v>
      </c>
      <c r="C16" s="168"/>
      <c r="D16" s="41"/>
      <c r="E16" s="42">
        <v>1000</v>
      </c>
      <c r="F16" s="88"/>
      <c r="G16" s="88">
        <v>1000</v>
      </c>
      <c r="H16" s="164">
        <f t="shared" si="0"/>
        <v>2000</v>
      </c>
      <c r="I16" s="165">
        <f t="shared" si="1"/>
        <v>6.6666666666666666E-2</v>
      </c>
      <c r="J16" s="203"/>
      <c r="N16" s="180"/>
      <c r="O16" s="187"/>
      <c r="P16" s="129" t="s">
        <v>52</v>
      </c>
      <c r="Q16" s="61"/>
      <c r="R16" s="113">
        <v>3130</v>
      </c>
      <c r="S16" s="63">
        <v>2000</v>
      </c>
      <c r="T16" s="61">
        <v>14800</v>
      </c>
      <c r="U16" s="61">
        <v>8000</v>
      </c>
      <c r="V16" s="61">
        <v>200</v>
      </c>
      <c r="W16" s="61">
        <v>200</v>
      </c>
      <c r="X16" s="61">
        <v>500</v>
      </c>
      <c r="Y16" s="61">
        <v>600</v>
      </c>
      <c r="Z16" s="81">
        <f>-800</f>
        <v>-800</v>
      </c>
      <c r="AA16" s="61"/>
      <c r="AB16" s="11"/>
      <c r="AC16" s="11"/>
      <c r="AD16" s="11"/>
      <c r="AE16" s="11"/>
      <c r="AF16" s="11"/>
      <c r="AG16" s="63"/>
      <c r="AH16" s="173"/>
      <c r="AQ16" s="1"/>
      <c r="AR16" s="143">
        <v>0.08</v>
      </c>
      <c r="AS16" s="14" t="s">
        <v>17</v>
      </c>
      <c r="AT16" s="7">
        <f>Z35</f>
        <v>25452</v>
      </c>
      <c r="AU16" s="57">
        <f t="shared" si="2"/>
        <v>402.99</v>
      </c>
      <c r="AV16" s="77">
        <v>0.19</v>
      </c>
    </row>
    <row r="17" spans="2:48" ht="14.5" customHeight="1" x14ac:dyDescent="0.35">
      <c r="B17" s="35" t="s">
        <v>24</v>
      </c>
      <c r="C17" s="168"/>
      <c r="D17" s="41"/>
      <c r="E17" s="42">
        <v>700</v>
      </c>
      <c r="F17" s="88"/>
      <c r="G17" s="88">
        <v>0</v>
      </c>
      <c r="H17" s="164">
        <f t="shared" si="0"/>
        <v>700</v>
      </c>
      <c r="I17" s="165">
        <f t="shared" si="1"/>
        <v>2.3333333333333334E-2</v>
      </c>
      <c r="J17" s="203"/>
      <c r="N17" s="182"/>
      <c r="P17" s="129" t="s">
        <v>53</v>
      </c>
      <c r="Q17" s="61"/>
      <c r="R17" s="113">
        <f>R15-R16</f>
        <v>20</v>
      </c>
      <c r="S17" s="63">
        <f>S15-S16</f>
        <v>3180</v>
      </c>
      <c r="T17" s="61">
        <f>T15-T16</f>
        <v>500</v>
      </c>
      <c r="U17" s="61">
        <v>-689.6283999999996</v>
      </c>
      <c r="V17" s="61">
        <f t="shared" ref="V17" si="7">V15-U15-V16</f>
        <v>1</v>
      </c>
      <c r="W17" s="61">
        <f t="shared" ref="W17" si="8">W15-V15-W16</f>
        <v>31</v>
      </c>
      <c r="X17" s="61">
        <f t="shared" ref="X17" si="9">X15-W15-X16</f>
        <v>20</v>
      </c>
      <c r="Y17" s="61">
        <f t="shared" ref="Y17" si="10">Y15-X15-Y16</f>
        <v>40</v>
      </c>
      <c r="Z17" s="13">
        <f t="shared" ref="Z17" si="11">Z15-Y15-Z16</f>
        <v>0</v>
      </c>
      <c r="AA17" s="61"/>
      <c r="AB17" s="11"/>
      <c r="AC17" s="11"/>
      <c r="AD17" s="11"/>
      <c r="AE17" s="11"/>
      <c r="AF17" s="11"/>
      <c r="AG17" s="63">
        <f>SUM(U17:AE17)</f>
        <v>-597.6283999999996</v>
      </c>
      <c r="AH17" s="173"/>
      <c r="AQ17" s="1"/>
      <c r="AR17" s="143">
        <v>0.1</v>
      </c>
      <c r="AS17" s="14" t="s">
        <v>15</v>
      </c>
      <c r="AT17" s="7">
        <f>Z39</f>
        <v>118186</v>
      </c>
      <c r="AU17" s="57">
        <f t="shared" si="2"/>
        <v>1969.7666666666667</v>
      </c>
      <c r="AV17" s="77">
        <v>0.2</v>
      </c>
    </row>
    <row r="18" spans="2:48" ht="14.5" customHeight="1" thickBot="1" x14ac:dyDescent="0.4">
      <c r="B18" s="35" t="s">
        <v>46</v>
      </c>
      <c r="C18" s="168"/>
      <c r="D18" s="41"/>
      <c r="E18" s="42">
        <v>300</v>
      </c>
      <c r="F18" s="88"/>
      <c r="G18" s="88">
        <v>0</v>
      </c>
      <c r="H18" s="164">
        <f t="shared" si="0"/>
        <v>300</v>
      </c>
      <c r="I18" s="165">
        <f t="shared" si="1"/>
        <v>0.01</v>
      </c>
      <c r="J18" s="203"/>
      <c r="N18" s="182"/>
      <c r="O18" s="192">
        <f>Z19/$Z$76</f>
        <v>2.7870967741935485E-2</v>
      </c>
      <c r="P18" s="130" t="s">
        <v>54</v>
      </c>
      <c r="Q18" s="62"/>
      <c r="R18" s="118">
        <f>R17/R16</f>
        <v>6.3897763578274758E-3</v>
      </c>
      <c r="S18" s="104">
        <f>S17/S16</f>
        <v>1.59</v>
      </c>
      <c r="T18" s="92">
        <f>T17/T16</f>
        <v>3.3783783783783786E-2</v>
      </c>
      <c r="U18" s="92">
        <v>-4.2184267188646908E-2</v>
      </c>
      <c r="V18" s="92">
        <f t="shared" ref="V18:Z18" si="12">V17/V15</f>
        <v>6.0426611879871898E-5</v>
      </c>
      <c r="W18" s="92">
        <f t="shared" si="12"/>
        <v>1.8474374255065555E-3</v>
      </c>
      <c r="X18" s="92">
        <f t="shared" si="12"/>
        <v>1.1560693641618498E-3</v>
      </c>
      <c r="Y18" s="92">
        <f t="shared" si="12"/>
        <v>2.229654403567447E-3</v>
      </c>
      <c r="Z18" s="96">
        <f t="shared" si="12"/>
        <v>0</v>
      </c>
      <c r="AA18" s="92"/>
      <c r="AB18" s="59"/>
      <c r="AC18" s="59"/>
      <c r="AD18" s="59"/>
      <c r="AE18" s="59"/>
      <c r="AF18" s="59"/>
      <c r="AG18" s="68"/>
      <c r="AH18" s="173"/>
      <c r="AQ18" s="1"/>
      <c r="AR18" s="143">
        <v>0.06</v>
      </c>
      <c r="AS18" s="14" t="s">
        <v>8</v>
      </c>
      <c r="AT18" s="7">
        <f>Z43</f>
        <v>68129</v>
      </c>
      <c r="AU18" s="57">
        <f t="shared" si="2"/>
        <v>681.29</v>
      </c>
      <c r="AV18" s="77">
        <v>0.12</v>
      </c>
    </row>
    <row r="19" spans="2:48" ht="15" customHeight="1" x14ac:dyDescent="0.35">
      <c r="B19" s="35" t="s">
        <v>45</v>
      </c>
      <c r="C19" s="168"/>
      <c r="D19" s="41"/>
      <c r="E19" s="42">
        <v>500</v>
      </c>
      <c r="F19" s="88"/>
      <c r="G19" s="88">
        <v>0</v>
      </c>
      <c r="H19" s="164">
        <f t="shared" si="0"/>
        <v>500</v>
      </c>
      <c r="I19" s="165">
        <f t="shared" si="1"/>
        <v>1.6666666666666666E-2</v>
      </c>
      <c r="J19" s="203"/>
      <c r="N19" s="182"/>
      <c r="O19" s="189"/>
      <c r="P19" s="177" t="s">
        <v>57</v>
      </c>
      <c r="Q19" s="131"/>
      <c r="R19" s="117"/>
      <c r="S19" s="128"/>
      <c r="T19" s="131">
        <v>20274</v>
      </c>
      <c r="U19" s="91">
        <v>50357</v>
      </c>
      <c r="V19" s="91">
        <v>20444.75</v>
      </c>
      <c r="W19" s="91">
        <v>20615</v>
      </c>
      <c r="X19" s="91">
        <v>20679</v>
      </c>
      <c r="Y19" s="91">
        <v>20752</v>
      </c>
      <c r="Z19" s="97">
        <v>21600</v>
      </c>
      <c r="AA19" s="91"/>
      <c r="AB19" s="91"/>
      <c r="AC19" s="91"/>
      <c r="AD19" s="91"/>
      <c r="AE19" s="91"/>
      <c r="AF19" s="91"/>
      <c r="AG19" s="68"/>
      <c r="AH19" s="173"/>
      <c r="AQ19" s="1"/>
      <c r="AR19" s="143">
        <v>0.02</v>
      </c>
      <c r="AS19" s="14" t="s">
        <v>16</v>
      </c>
      <c r="AT19" s="7">
        <f>Z47</f>
        <v>31000</v>
      </c>
      <c r="AU19" s="57">
        <f t="shared" si="2"/>
        <v>465</v>
      </c>
      <c r="AV19" s="77">
        <v>0.18</v>
      </c>
    </row>
    <row r="20" spans="2:48" ht="15" thickBot="1" x14ac:dyDescent="0.4">
      <c r="B20" s="169" t="s">
        <v>51</v>
      </c>
      <c r="C20" s="170"/>
      <c r="D20" s="102"/>
      <c r="E20" s="89">
        <v>1000</v>
      </c>
      <c r="F20" s="171"/>
      <c r="G20" s="171">
        <v>1000</v>
      </c>
      <c r="H20" s="166">
        <f t="shared" si="0"/>
        <v>2000</v>
      </c>
      <c r="I20" s="167">
        <f t="shared" si="1"/>
        <v>6.6666666666666666E-2</v>
      </c>
      <c r="J20" s="204"/>
      <c r="N20" s="182"/>
      <c r="O20" s="189"/>
      <c r="P20" s="129" t="s">
        <v>52</v>
      </c>
      <c r="Q20" s="61"/>
      <c r="R20" s="117"/>
      <c r="S20" s="128"/>
      <c r="T20" s="17">
        <v>10201.94</v>
      </c>
      <c r="U20" s="91">
        <f>132.99+5000+4800+20000</f>
        <v>29932.989999999998</v>
      </c>
      <c r="V20" s="91">
        <f>-5000-5000-5000-10000-5000</f>
        <v>-30000</v>
      </c>
      <c r="W20" s="91">
        <v>0</v>
      </c>
      <c r="X20" s="91">
        <v>0</v>
      </c>
      <c r="Y20" s="91">
        <v>0</v>
      </c>
      <c r="Z20" s="97">
        <v>800</v>
      </c>
      <c r="AA20" s="91"/>
      <c r="AB20" s="91"/>
      <c r="AC20" s="91"/>
      <c r="AD20" s="91"/>
      <c r="AE20" s="91"/>
      <c r="AF20" s="91"/>
      <c r="AG20" s="68"/>
      <c r="AH20" s="173"/>
      <c r="AQ20" s="1"/>
      <c r="AR20" s="143">
        <v>0.04</v>
      </c>
      <c r="AS20" s="14" t="s">
        <v>18</v>
      </c>
      <c r="AT20" s="7">
        <f>Z51</f>
        <v>50000</v>
      </c>
      <c r="AU20" s="57">
        <f t="shared" si="2"/>
        <v>666.66666666666674</v>
      </c>
      <c r="AV20" s="77">
        <v>0.16</v>
      </c>
    </row>
    <row r="21" spans="2:48" ht="15" customHeight="1" x14ac:dyDescent="0.35">
      <c r="L21" s="82"/>
      <c r="M21" s="82"/>
      <c r="N21" s="182"/>
      <c r="O21" s="189"/>
      <c r="P21" s="129" t="s">
        <v>53</v>
      </c>
      <c r="Q21" s="61"/>
      <c r="R21" s="117"/>
      <c r="S21" s="128"/>
      <c r="T21" s="17">
        <v>66.590000000000146</v>
      </c>
      <c r="U21" s="11">
        <f t="shared" ref="U21:Z21" si="13">U19-T19-U20</f>
        <v>150.01000000000204</v>
      </c>
      <c r="V21" s="11">
        <f t="shared" si="13"/>
        <v>87.75</v>
      </c>
      <c r="W21" s="11">
        <f t="shared" si="13"/>
        <v>170.25</v>
      </c>
      <c r="X21" s="11">
        <f t="shared" si="13"/>
        <v>64</v>
      </c>
      <c r="Y21" s="11">
        <f t="shared" si="13"/>
        <v>73</v>
      </c>
      <c r="Z21" s="13">
        <f t="shared" si="13"/>
        <v>48</v>
      </c>
      <c r="AA21" s="75"/>
      <c r="AB21" s="75"/>
      <c r="AC21" s="75"/>
      <c r="AD21" s="75"/>
      <c r="AE21" s="75"/>
      <c r="AF21" s="75"/>
      <c r="AG21" s="68"/>
      <c r="AH21" s="173"/>
      <c r="AQ21" s="1"/>
      <c r="AR21" s="143">
        <v>8.5000000000000006E-2</v>
      </c>
      <c r="AS21" s="14" t="s">
        <v>20</v>
      </c>
      <c r="AT21" s="7">
        <f>Z55</f>
        <v>95683</v>
      </c>
      <c r="AU21" s="57">
        <f t="shared" si="2"/>
        <v>1275.7733333333333</v>
      </c>
      <c r="AV21" s="77">
        <v>0.16</v>
      </c>
    </row>
    <row r="22" spans="2:48" ht="15" customHeight="1" thickBot="1" x14ac:dyDescent="0.4">
      <c r="L22" s="82"/>
      <c r="M22" s="82"/>
      <c r="N22" s="182"/>
      <c r="O22" s="192">
        <f>Z23/$Z$76</f>
        <v>0.12404129032258064</v>
      </c>
      <c r="P22" s="130" t="s">
        <v>54</v>
      </c>
      <c r="Q22" s="62"/>
      <c r="R22" s="117"/>
      <c r="S22" s="128"/>
      <c r="T22" s="132">
        <v>3.2845023182401178E-3</v>
      </c>
      <c r="U22" s="75">
        <f t="shared" ref="U22:Y22" si="14">U21/U19</f>
        <v>2.9789304366821304E-3</v>
      </c>
      <c r="V22" s="75">
        <f t="shared" si="14"/>
        <v>4.2920554176500078E-3</v>
      </c>
      <c r="W22" s="75">
        <f t="shared" si="14"/>
        <v>8.2585495998059658E-3</v>
      </c>
      <c r="X22" s="75">
        <f t="shared" si="14"/>
        <v>3.0949272208520722E-3</v>
      </c>
      <c r="Y22" s="75">
        <f t="shared" si="14"/>
        <v>3.517733230531997E-3</v>
      </c>
      <c r="Z22" s="96">
        <f t="shared" ref="Z22" si="15">Z21/Z19</f>
        <v>2.2222222222222222E-3</v>
      </c>
      <c r="AA22" s="75"/>
      <c r="AB22" s="75"/>
      <c r="AC22" s="75"/>
      <c r="AD22" s="75"/>
      <c r="AE22" s="75"/>
      <c r="AF22" s="75"/>
      <c r="AG22" s="68"/>
      <c r="AH22" s="173"/>
      <c r="AQ22" s="1"/>
      <c r="AR22" s="143">
        <v>0.05</v>
      </c>
      <c r="AS22" s="14" t="s">
        <v>25</v>
      </c>
      <c r="AT22" s="7">
        <f>Z55</f>
        <v>95683</v>
      </c>
      <c r="AU22" s="57">
        <f t="shared" si="2"/>
        <v>956.83</v>
      </c>
      <c r="AV22" s="77">
        <v>0.12</v>
      </c>
    </row>
    <row r="23" spans="2:48" ht="15" customHeight="1" thickBot="1" x14ac:dyDescent="0.4">
      <c r="N23" s="182"/>
      <c r="O23" s="189"/>
      <c r="P23" s="177" t="s">
        <v>58</v>
      </c>
      <c r="Q23" s="131"/>
      <c r="R23" s="114"/>
      <c r="S23" s="65">
        <v>2943.5</v>
      </c>
      <c r="T23" s="131">
        <v>82713.420000000013</v>
      </c>
      <c r="U23" s="73">
        <f>61309.99+67800-50000</f>
        <v>79109.989999999991</v>
      </c>
      <c r="V23" s="73">
        <f>3285+129200-50000</f>
        <v>82485</v>
      </c>
      <c r="W23" s="73">
        <f>3085+140935-50000</f>
        <v>94020</v>
      </c>
      <c r="X23" s="73">
        <f>328+144535-50000</f>
        <v>94863</v>
      </c>
      <c r="Y23" s="73">
        <f>1214+144135-50000</f>
        <v>95349</v>
      </c>
      <c r="Z23" s="97">
        <f>897+145235-50000</f>
        <v>96132</v>
      </c>
      <c r="AA23" s="73"/>
      <c r="AB23" s="73"/>
      <c r="AC23" s="73"/>
      <c r="AD23" s="73"/>
      <c r="AE23" s="73"/>
      <c r="AF23" s="73"/>
      <c r="AG23" s="69"/>
      <c r="AH23" s="173"/>
      <c r="AQ23" s="1"/>
      <c r="AR23" s="143">
        <v>3.5000000000000003E-2</v>
      </c>
      <c r="AS23" s="14" t="s">
        <v>33</v>
      </c>
      <c r="AT23" s="7">
        <f>Z63</f>
        <v>35990</v>
      </c>
      <c r="AU23" s="57">
        <f t="shared" si="2"/>
        <v>1499.5833333333333</v>
      </c>
      <c r="AV23" s="150">
        <v>0.5</v>
      </c>
    </row>
    <row r="24" spans="2:48" ht="14.5" customHeight="1" thickBot="1" x14ac:dyDescent="0.4">
      <c r="N24" s="182"/>
      <c r="O24" s="189"/>
      <c r="P24" s="129" t="s">
        <v>52</v>
      </c>
      <c r="Q24" s="61"/>
      <c r="R24" s="113"/>
      <c r="S24" s="63"/>
      <c r="T24" s="17">
        <v>168.87</v>
      </c>
      <c r="U24" s="11">
        <f>-4800</f>
        <v>-4800</v>
      </c>
      <c r="V24" s="11">
        <f>415.81+4995-2600</f>
        <v>2810.8100000000004</v>
      </c>
      <c r="W24" s="11">
        <f>480+3408+6000+54</f>
        <v>9942</v>
      </c>
      <c r="X24" s="11">
        <f>-500</f>
        <v>-500</v>
      </c>
      <c r="Y24" s="11">
        <v>0</v>
      </c>
      <c r="Z24" s="13">
        <v>0</v>
      </c>
      <c r="AA24" s="11"/>
      <c r="AB24" s="11"/>
      <c r="AC24" s="11"/>
      <c r="AD24" s="11"/>
      <c r="AE24" s="11"/>
      <c r="AF24" s="11"/>
      <c r="AG24" s="68"/>
      <c r="AH24" s="173"/>
      <c r="AQ24" s="1"/>
      <c r="AR24" s="144">
        <v>0.14000000000000001</v>
      </c>
      <c r="AS24" s="18" t="s">
        <v>21</v>
      </c>
      <c r="AT24" s="20">
        <f>Z67</f>
        <v>143077</v>
      </c>
      <c r="AU24" s="57">
        <f t="shared" si="2"/>
        <v>3576.9249999999997</v>
      </c>
      <c r="AV24" s="78">
        <v>0.3</v>
      </c>
    </row>
    <row r="25" spans="2:48" ht="15" customHeight="1" thickBot="1" x14ac:dyDescent="0.4">
      <c r="N25" s="182"/>
      <c r="O25" s="189"/>
      <c r="P25" s="129" t="s">
        <v>53</v>
      </c>
      <c r="Q25" s="61"/>
      <c r="R25" s="113"/>
      <c r="S25" s="63"/>
      <c r="T25" s="17">
        <v>799.5500000000128</v>
      </c>
      <c r="U25" s="11">
        <f t="shared" ref="U25:Z25" si="16">U23-T23-U24</f>
        <v>1196.5699999999779</v>
      </c>
      <c r="V25" s="11">
        <f t="shared" si="16"/>
        <v>564.20000000000891</v>
      </c>
      <c r="W25" s="11">
        <f t="shared" si="16"/>
        <v>1593</v>
      </c>
      <c r="X25" s="11">
        <f t="shared" si="16"/>
        <v>1343</v>
      </c>
      <c r="Y25" s="11">
        <f t="shared" si="16"/>
        <v>486</v>
      </c>
      <c r="Z25" s="13">
        <f t="shared" si="16"/>
        <v>783</v>
      </c>
      <c r="AA25" s="11"/>
      <c r="AB25" s="11"/>
      <c r="AC25" s="11"/>
      <c r="AD25" s="11"/>
      <c r="AE25" s="11"/>
      <c r="AF25" s="11"/>
      <c r="AG25" s="68"/>
      <c r="AH25" s="173"/>
      <c r="AQ25" s="1"/>
      <c r="AR25" s="141">
        <f>SUM(AR10:AR24)</f>
        <v>1.0000000000000002</v>
      </c>
      <c r="AS25" s="55" t="s">
        <v>2</v>
      </c>
      <c r="AT25" s="54">
        <f>SUM(AT10:AT24)-150000</f>
        <v>834887</v>
      </c>
      <c r="AU25" s="224">
        <f>SUM(AU11:AU24)</f>
        <v>15054.800166666666</v>
      </c>
      <c r="AV25" s="230" t="s">
        <v>83</v>
      </c>
    </row>
    <row r="26" spans="2:48" ht="15" customHeight="1" thickBot="1" x14ac:dyDescent="0.4">
      <c r="N26" s="182"/>
      <c r="O26" s="192">
        <f>Z27/$Z$76</f>
        <v>2.2200000000000001E-2</v>
      </c>
      <c r="P26" s="130" t="s">
        <v>54</v>
      </c>
      <c r="Q26" s="62"/>
      <c r="R26" s="118"/>
      <c r="S26" s="104"/>
      <c r="T26" s="132">
        <v>9.6665087720954196E-3</v>
      </c>
      <c r="U26" s="59">
        <f t="shared" ref="U26:Y26" si="17">U25/U23</f>
        <v>1.5125396931537699E-2</v>
      </c>
      <c r="V26" s="59">
        <f t="shared" si="17"/>
        <v>6.8400315208826928E-3</v>
      </c>
      <c r="W26" s="59">
        <f t="shared" si="17"/>
        <v>1.6943203573707721E-2</v>
      </c>
      <c r="X26" s="59">
        <f t="shared" si="17"/>
        <v>1.4157258362058969E-2</v>
      </c>
      <c r="Y26" s="59">
        <f t="shared" si="17"/>
        <v>5.0970644684265173E-3</v>
      </c>
      <c r="Z26" s="96">
        <f t="shared" ref="Z26" si="18">Z25/Z23</f>
        <v>8.1450505554862065E-3</v>
      </c>
      <c r="AA26" s="59"/>
      <c r="AB26" s="59"/>
      <c r="AC26" s="59"/>
      <c r="AD26" s="59"/>
      <c r="AE26" s="59"/>
      <c r="AF26" s="59"/>
      <c r="AG26" s="68"/>
      <c r="AH26" s="173"/>
      <c r="AR26" s="55"/>
      <c r="AS26" s="55"/>
      <c r="AT26" s="76"/>
      <c r="AU26" s="225">
        <f>AU25*12</f>
        <v>180657.60199999998</v>
      </c>
      <c r="AV26" s="231" t="s">
        <v>84</v>
      </c>
    </row>
    <row r="27" spans="2:48" ht="15" customHeight="1" x14ac:dyDescent="0.35">
      <c r="N27" s="182"/>
      <c r="O27" s="189"/>
      <c r="P27" s="177" t="s">
        <v>59</v>
      </c>
      <c r="Q27" s="131"/>
      <c r="R27" s="114"/>
      <c r="S27" s="65"/>
      <c r="T27" s="131"/>
      <c r="U27" s="73"/>
      <c r="V27" s="73">
        <v>224.05</v>
      </c>
      <c r="W27" s="73">
        <v>10141</v>
      </c>
      <c r="X27" s="73">
        <v>15680</v>
      </c>
      <c r="Y27" s="73">
        <v>17083</v>
      </c>
      <c r="Z27" s="97">
        <v>17205</v>
      </c>
      <c r="AA27" s="21"/>
      <c r="AB27" s="21"/>
      <c r="AC27" s="21"/>
      <c r="AD27" s="21"/>
      <c r="AE27" s="21"/>
      <c r="AF27" s="21"/>
      <c r="AG27" s="68"/>
      <c r="AH27" s="173"/>
      <c r="AR27" s="55"/>
      <c r="AS27" s="55"/>
      <c r="AT27" s="58"/>
      <c r="AU27" s="226">
        <f>AU25/AT25</f>
        <v>1.8032141076177573E-2</v>
      </c>
      <c r="AV27" s="230" t="s">
        <v>85</v>
      </c>
    </row>
    <row r="28" spans="2:48" ht="15" customHeight="1" thickBot="1" x14ac:dyDescent="0.4">
      <c r="N28" s="182"/>
      <c r="O28" s="189"/>
      <c r="P28" s="129" t="s">
        <v>52</v>
      </c>
      <c r="Q28" s="61"/>
      <c r="R28" s="113"/>
      <c r="S28" s="63"/>
      <c r="T28" s="17"/>
      <c r="U28" s="11"/>
      <c r="V28" s="11"/>
      <c r="W28" s="11">
        <f>1900+3000+5000</f>
        <v>9900</v>
      </c>
      <c r="X28" s="11">
        <f>4000+1450</f>
        <v>5450</v>
      </c>
      <c r="Y28" s="11">
        <f>1165</f>
        <v>1165</v>
      </c>
      <c r="Z28" s="13">
        <v>0</v>
      </c>
      <c r="AA28" s="11"/>
      <c r="AB28" s="11"/>
      <c r="AC28" s="11"/>
      <c r="AD28" s="11"/>
      <c r="AE28" s="11"/>
      <c r="AF28" s="11"/>
      <c r="AG28" s="63"/>
      <c r="AH28" s="173"/>
      <c r="AR28" s="55"/>
      <c r="AS28" s="76"/>
      <c r="AT28" s="58"/>
      <c r="AU28" s="227">
        <f>AU27*12</f>
        <v>0.21638569291413087</v>
      </c>
      <c r="AV28" s="231" t="s">
        <v>86</v>
      </c>
    </row>
    <row r="29" spans="2:48" ht="15" customHeight="1" thickBot="1" x14ac:dyDescent="0.4">
      <c r="N29" s="182"/>
      <c r="O29" s="189"/>
      <c r="P29" s="129" t="s">
        <v>53</v>
      </c>
      <c r="Q29" s="61"/>
      <c r="R29" s="113"/>
      <c r="S29" s="63"/>
      <c r="T29" s="17"/>
      <c r="U29" s="11"/>
      <c r="V29" s="11"/>
      <c r="W29" s="11">
        <f>W27-V27-W28</f>
        <v>16.950000000000728</v>
      </c>
      <c r="X29" s="11">
        <f>X27-W27-X28</f>
        <v>89</v>
      </c>
      <c r="Y29" s="11">
        <f>Y27-X27-Y28</f>
        <v>238</v>
      </c>
      <c r="Z29" s="97">
        <f>Z27-Y27-Z28</f>
        <v>122</v>
      </c>
      <c r="AA29" s="11"/>
      <c r="AB29" s="11"/>
      <c r="AC29" s="11"/>
      <c r="AD29" s="11"/>
      <c r="AE29" s="11"/>
      <c r="AF29" s="11"/>
      <c r="AG29" s="63">
        <f>SUM(U29:AE29)</f>
        <v>465.95000000000073</v>
      </c>
      <c r="AH29" s="173"/>
      <c r="AR29" s="55"/>
      <c r="AS29" s="55" t="s">
        <v>77</v>
      </c>
      <c r="AT29" s="58">
        <f>8000</f>
        <v>8000</v>
      </c>
      <c r="AU29" s="55" t="s">
        <v>81</v>
      </c>
      <c r="AV29" s="55"/>
    </row>
    <row r="30" spans="2:48" ht="15" customHeight="1" thickBot="1" x14ac:dyDescent="0.4">
      <c r="N30" s="182"/>
      <c r="O30" s="192">
        <f>Z31/$Z$76</f>
        <v>0.19423225806451613</v>
      </c>
      <c r="P30" s="130" t="s">
        <v>54</v>
      </c>
      <c r="Q30" s="62"/>
      <c r="R30" s="119"/>
      <c r="S30" s="105"/>
      <c r="T30" s="132"/>
      <c r="U30" s="87"/>
      <c r="V30" s="87"/>
      <c r="W30" s="87">
        <f>W29/W27</f>
        <v>1.6714327975545535E-3</v>
      </c>
      <c r="X30" s="87">
        <f>X29/X27</f>
        <v>5.6760204081632657E-3</v>
      </c>
      <c r="Y30" s="87">
        <f>Y29/Y27</f>
        <v>1.3931979160568988E-2</v>
      </c>
      <c r="Z30" s="96">
        <f>Z29/Z27</f>
        <v>7.0909619296716069E-3</v>
      </c>
      <c r="AA30" s="87"/>
      <c r="AB30" s="87"/>
      <c r="AC30" s="87"/>
      <c r="AD30" s="87"/>
      <c r="AE30" s="87"/>
      <c r="AF30" s="87"/>
      <c r="AG30" s="67"/>
      <c r="AH30" s="173"/>
      <c r="AQ30" s="90"/>
      <c r="AR30" s="229" t="s">
        <v>82</v>
      </c>
      <c r="AS30" s="145">
        <v>44348</v>
      </c>
      <c r="AT30" s="149">
        <f>AT25</f>
        <v>834887</v>
      </c>
      <c r="AU30" s="33">
        <v>0</v>
      </c>
      <c r="AV30" s="55"/>
    </row>
    <row r="31" spans="2:48" ht="15" customHeight="1" thickBot="1" x14ac:dyDescent="0.4">
      <c r="N31" s="182"/>
      <c r="O31" s="189"/>
      <c r="P31" s="177" t="s">
        <v>10</v>
      </c>
      <c r="Q31" s="131">
        <v>28312</v>
      </c>
      <c r="R31" s="114">
        <v>88757</v>
      </c>
      <c r="S31" s="65">
        <v>154193</v>
      </c>
      <c r="T31" s="131">
        <v>163449</v>
      </c>
      <c r="U31" s="73">
        <f>160712+138.07</f>
        <v>160850.07</v>
      </c>
      <c r="V31" s="73">
        <f>161054+138.07</f>
        <v>161192.07</v>
      </c>
      <c r="W31" s="73">
        <v>157565</v>
      </c>
      <c r="X31" s="73">
        <v>153763</v>
      </c>
      <c r="Y31" s="73">
        <v>151523</v>
      </c>
      <c r="Z31" s="97">
        <v>150530</v>
      </c>
      <c r="AA31" s="73"/>
      <c r="AB31" s="73"/>
      <c r="AC31" s="73"/>
      <c r="AD31" s="73"/>
      <c r="AE31" s="73"/>
      <c r="AF31" s="73"/>
      <c r="AG31" s="65"/>
      <c r="AH31" s="174"/>
      <c r="AQ31" s="90"/>
      <c r="AR31" s="56"/>
      <c r="AS31" s="146" t="s">
        <v>32</v>
      </c>
      <c r="AT31" s="147">
        <f>AU25</f>
        <v>15054.800166666666</v>
      </c>
      <c r="AU31" s="55"/>
      <c r="AV31" s="55"/>
    </row>
    <row r="32" spans="2:48" ht="16.899999999999999" customHeight="1" x14ac:dyDescent="0.35">
      <c r="N32" s="182"/>
      <c r="O32" s="189"/>
      <c r="P32" s="129" t="s">
        <v>52</v>
      </c>
      <c r="Q32" s="61"/>
      <c r="R32" s="113">
        <v>4758</v>
      </c>
      <c r="S32" s="63">
        <v>-6962.48</v>
      </c>
      <c r="T32" s="17">
        <v>-7468.87</v>
      </c>
      <c r="U32" s="11">
        <f>-5000</f>
        <v>-5000</v>
      </c>
      <c r="V32" s="11">
        <f>-2400</f>
        <v>-2400</v>
      </c>
      <c r="W32" s="11">
        <f>-1000-1900-3000</f>
        <v>-5900</v>
      </c>
      <c r="X32" s="11">
        <f>-4000-1300-1450</f>
        <v>-6750</v>
      </c>
      <c r="Y32" s="11">
        <f>-1165-2500-1000</f>
        <v>-4665</v>
      </c>
      <c r="Z32" s="13">
        <f>-1700</f>
        <v>-1700</v>
      </c>
      <c r="AA32" s="11"/>
      <c r="AB32" s="11"/>
      <c r="AC32" s="11"/>
      <c r="AD32" s="11"/>
      <c r="AE32" s="11"/>
      <c r="AF32" s="11"/>
      <c r="AG32" s="63"/>
      <c r="AH32" s="174"/>
      <c r="AQ32" s="90"/>
      <c r="AR32" s="55"/>
      <c r="AS32" s="84" t="s">
        <v>22</v>
      </c>
      <c r="AT32" s="58">
        <f>AT31*12</f>
        <v>180657.60199999998</v>
      </c>
      <c r="AU32" s="74"/>
    </row>
    <row r="33" spans="14:48" ht="15" thickBot="1" x14ac:dyDescent="0.4">
      <c r="N33" s="182"/>
      <c r="O33" s="189"/>
      <c r="P33" s="129" t="s">
        <v>53</v>
      </c>
      <c r="Q33" s="61"/>
      <c r="R33" s="113">
        <v>1908.2700000000041</v>
      </c>
      <c r="S33" s="63">
        <v>3224.4799999999996</v>
      </c>
      <c r="T33" s="17">
        <v>3061.87</v>
      </c>
      <c r="U33" s="11">
        <f t="shared" ref="U33:Z33" si="19">U31-T31-U32</f>
        <v>2401.070000000007</v>
      </c>
      <c r="V33" s="11">
        <f t="shared" si="19"/>
        <v>2742</v>
      </c>
      <c r="W33" s="11">
        <f t="shared" si="19"/>
        <v>2272.929999999993</v>
      </c>
      <c r="X33" s="11">
        <f t="shared" si="19"/>
        <v>2948</v>
      </c>
      <c r="Y33" s="11">
        <f t="shared" si="19"/>
        <v>2425</v>
      </c>
      <c r="Z33" s="97">
        <f t="shared" si="19"/>
        <v>707</v>
      </c>
      <c r="AA33" s="11"/>
      <c r="AB33" s="11"/>
      <c r="AC33" s="11"/>
      <c r="AD33" s="11"/>
      <c r="AE33" s="11"/>
      <c r="AF33" s="11"/>
      <c r="AG33" s="63">
        <f>SUM(U33:AE33)</f>
        <v>13496</v>
      </c>
      <c r="AH33" s="174"/>
      <c r="AQ33" s="90"/>
      <c r="AR33" s="55"/>
      <c r="AS33" s="55" t="s">
        <v>19</v>
      </c>
      <c r="AT33" s="58">
        <f>($AT$29*12)+AU30</f>
        <v>96000</v>
      </c>
      <c r="AU33" s="55"/>
      <c r="AV33" s="55"/>
    </row>
    <row r="34" spans="14:48" ht="15" thickBot="1" x14ac:dyDescent="0.4">
      <c r="N34" s="182"/>
      <c r="O34" s="192">
        <f>Z35/$Z$76</f>
        <v>3.2841290322580645E-2</v>
      </c>
      <c r="P34" s="130" t="s">
        <v>54</v>
      </c>
      <c r="Q34" s="62"/>
      <c r="R34" s="118">
        <f>R33/R31</f>
        <v>2.1499938033056592E-2</v>
      </c>
      <c r="S34" s="104">
        <v>2.0911973954719082E-2</v>
      </c>
      <c r="T34" s="92">
        <v>1.8732876921853298E-2</v>
      </c>
      <c r="U34" s="59">
        <f t="shared" ref="U34:Z34" si="20">U33/U31</f>
        <v>1.4927379266916122E-2</v>
      </c>
      <c r="V34" s="59">
        <f t="shared" si="20"/>
        <v>1.7010762378074803E-2</v>
      </c>
      <c r="W34" s="59">
        <f t="shared" si="20"/>
        <v>1.4425348268968317E-2</v>
      </c>
      <c r="X34" s="59">
        <f t="shared" si="20"/>
        <v>1.917236266201882E-2</v>
      </c>
      <c r="Y34" s="59">
        <f t="shared" si="20"/>
        <v>1.6004170983943033E-2</v>
      </c>
      <c r="Z34" s="96">
        <f t="shared" si="20"/>
        <v>4.6967381917225803E-3</v>
      </c>
      <c r="AA34" s="59"/>
      <c r="AB34" s="59"/>
      <c r="AC34" s="59"/>
      <c r="AD34" s="59"/>
      <c r="AE34" s="59"/>
      <c r="AF34" s="59"/>
      <c r="AG34" s="67"/>
      <c r="AH34" s="174"/>
      <c r="AQ34" s="90"/>
      <c r="AR34" s="228">
        <v>2022</v>
      </c>
      <c r="AS34" s="126">
        <f>AS30+365</f>
        <v>44713</v>
      </c>
      <c r="AT34" s="149">
        <f>AT33+AT32+AT30+AU34</f>
        <v>1111544.602</v>
      </c>
      <c r="AU34" s="152">
        <v>0</v>
      </c>
      <c r="AV34" s="55"/>
    </row>
    <row r="35" spans="14:48" ht="15" customHeight="1" thickBot="1" x14ac:dyDescent="0.4">
      <c r="N35" s="182"/>
      <c r="O35" s="189"/>
      <c r="P35" s="177" t="s">
        <v>60</v>
      </c>
      <c r="Q35" s="131"/>
      <c r="R35" s="140"/>
      <c r="S35" s="128"/>
      <c r="T35" s="135"/>
      <c r="U35" s="73"/>
      <c r="V35" s="73">
        <v>9900</v>
      </c>
      <c r="W35" s="73">
        <v>20149</v>
      </c>
      <c r="X35" s="73">
        <v>20332</v>
      </c>
      <c r="Y35" s="73">
        <v>23674</v>
      </c>
      <c r="Z35" s="97">
        <v>25452</v>
      </c>
      <c r="AA35" s="73"/>
      <c r="AB35" s="73"/>
      <c r="AC35" s="73"/>
      <c r="AD35" s="73"/>
      <c r="AE35" s="73"/>
      <c r="AF35" s="73"/>
      <c r="AG35" s="68"/>
      <c r="AH35" s="173"/>
      <c r="AQ35" s="90"/>
      <c r="AR35" s="56"/>
      <c r="AS35" s="146" t="s">
        <v>32</v>
      </c>
      <c r="AT35" s="148">
        <f>AT34*$AU$27</f>
        <v>20043.529075727653</v>
      </c>
      <c r="AU35" s="55"/>
      <c r="AV35" s="55"/>
    </row>
    <row r="36" spans="14:48" x14ac:dyDescent="0.35">
      <c r="N36" s="182"/>
      <c r="O36" s="189"/>
      <c r="P36" s="129" t="s">
        <v>52</v>
      </c>
      <c r="Q36" s="61"/>
      <c r="R36" s="140"/>
      <c r="S36" s="128"/>
      <c r="T36" s="135"/>
      <c r="U36" s="75"/>
      <c r="V36" s="91">
        <f>4000+3500+2400</f>
        <v>9900</v>
      </c>
      <c r="W36" s="91">
        <f>7000+3202</f>
        <v>10202</v>
      </c>
      <c r="X36" s="91">
        <v>0</v>
      </c>
      <c r="Y36" s="91">
        <f>2000+1000</f>
        <v>3000</v>
      </c>
      <c r="Z36" s="13">
        <f>1700</f>
        <v>1700</v>
      </c>
      <c r="AA36" s="75"/>
      <c r="AB36" s="75"/>
      <c r="AC36" s="75"/>
      <c r="AD36" s="75"/>
      <c r="AE36" s="75"/>
      <c r="AF36" s="75"/>
      <c r="AG36" s="68"/>
      <c r="AH36" s="173"/>
      <c r="AQ36" s="90"/>
      <c r="AR36" s="55"/>
      <c r="AS36" s="84" t="s">
        <v>22</v>
      </c>
      <c r="AT36" s="58">
        <f>AT35*12</f>
        <v>240522.34890873183</v>
      </c>
      <c r="AU36" s="74"/>
    </row>
    <row r="37" spans="14:48" ht="15" customHeight="1" thickBot="1" x14ac:dyDescent="0.4">
      <c r="N37" s="182"/>
      <c r="O37" s="189"/>
      <c r="P37" s="129" t="s">
        <v>53</v>
      </c>
      <c r="Q37" s="61"/>
      <c r="R37" s="140"/>
      <c r="S37" s="128"/>
      <c r="T37" s="135"/>
      <c r="U37" s="75"/>
      <c r="V37" s="91">
        <f t="shared" ref="V37:Z37" si="21">V35-U35-V36</f>
        <v>0</v>
      </c>
      <c r="W37" s="91">
        <f t="shared" si="21"/>
        <v>47</v>
      </c>
      <c r="X37" s="91">
        <f t="shared" si="21"/>
        <v>183</v>
      </c>
      <c r="Y37" s="91">
        <f t="shared" si="21"/>
        <v>342</v>
      </c>
      <c r="Z37" s="97">
        <f t="shared" si="21"/>
        <v>78</v>
      </c>
      <c r="AA37" s="75"/>
      <c r="AB37" s="75"/>
      <c r="AC37" s="75"/>
      <c r="AD37" s="75"/>
      <c r="AE37" s="75"/>
      <c r="AF37" s="75"/>
      <c r="AG37" s="68"/>
      <c r="AH37" s="173"/>
      <c r="AQ37" s="90"/>
      <c r="AR37" s="55"/>
      <c r="AS37" s="84" t="s">
        <v>19</v>
      </c>
      <c r="AT37" s="58">
        <f>($AT$29*12)+AU34</f>
        <v>96000</v>
      </c>
      <c r="AU37" s="55"/>
      <c r="AV37" s="55"/>
    </row>
    <row r="38" spans="14:48" ht="15" customHeight="1" thickBot="1" x14ac:dyDescent="0.4">
      <c r="N38" s="182"/>
      <c r="O38" s="192">
        <f>Z39/$Z$76</f>
        <v>0.15249806451612904</v>
      </c>
      <c r="P38" s="130" t="s">
        <v>54</v>
      </c>
      <c r="Q38" s="62"/>
      <c r="R38" s="140"/>
      <c r="S38" s="128"/>
      <c r="T38" s="135"/>
      <c r="U38" s="75"/>
      <c r="V38" s="75">
        <f t="shared" ref="V38:Y38" si="22">V37/V35</f>
        <v>0</v>
      </c>
      <c r="W38" s="75">
        <f t="shared" si="22"/>
        <v>2.3326219663506874E-3</v>
      </c>
      <c r="X38" s="75">
        <f t="shared" si="22"/>
        <v>9.0005902026362387E-3</v>
      </c>
      <c r="Y38" s="75">
        <f t="shared" si="22"/>
        <v>1.4446227929373997E-2</v>
      </c>
      <c r="Z38" s="96">
        <f t="shared" ref="Z38" si="23">Z37/Z35</f>
        <v>3.0645921735030644E-3</v>
      </c>
      <c r="AA38" s="75"/>
      <c r="AB38" s="75"/>
      <c r="AC38" s="75"/>
      <c r="AD38" s="75"/>
      <c r="AE38" s="75"/>
      <c r="AF38" s="75"/>
      <c r="AG38" s="68"/>
      <c r="AH38" s="173"/>
      <c r="AQ38" s="90"/>
      <c r="AR38" s="228">
        <f>AR34+1</f>
        <v>2023</v>
      </c>
      <c r="AS38" s="126">
        <f>AS34+365</f>
        <v>45078</v>
      </c>
      <c r="AT38" s="149">
        <f>AT37+AT36+AT34+AU38</f>
        <v>1448066.9509087317</v>
      </c>
      <c r="AU38" s="33">
        <v>0</v>
      </c>
      <c r="AV38" s="55"/>
    </row>
    <row r="39" spans="14:48" ht="15" customHeight="1" thickBot="1" x14ac:dyDescent="0.4">
      <c r="N39" s="182"/>
      <c r="O39" s="189"/>
      <c r="P39" s="177" t="s">
        <v>61</v>
      </c>
      <c r="Q39" s="131"/>
      <c r="R39" s="114"/>
      <c r="S39" s="65">
        <v>112413</v>
      </c>
      <c r="T39" s="131">
        <v>115854</v>
      </c>
      <c r="U39" s="73">
        <v>127112</v>
      </c>
      <c r="V39" s="73">
        <v>122347</v>
      </c>
      <c r="W39" s="73">
        <v>121143</v>
      </c>
      <c r="X39" s="73">
        <v>120394</v>
      </c>
      <c r="Y39" s="73">
        <v>117739</v>
      </c>
      <c r="Z39" s="97">
        <v>118186</v>
      </c>
      <c r="AA39" s="73"/>
      <c r="AB39" s="73"/>
      <c r="AC39" s="73"/>
      <c r="AD39" s="73"/>
      <c r="AE39" s="73"/>
      <c r="AF39" s="73"/>
      <c r="AG39" s="68"/>
      <c r="AH39" s="173"/>
      <c r="AQ39" s="90"/>
      <c r="AR39" s="56"/>
      <c r="AS39" s="146" t="s">
        <v>32</v>
      </c>
      <c r="AT39" s="148">
        <f>AT38*$AU$27</f>
        <v>26111.747546536553</v>
      </c>
      <c r="AU39" s="55"/>
      <c r="AV39" s="55"/>
    </row>
    <row r="40" spans="14:48" ht="15" customHeight="1" x14ac:dyDescent="0.35">
      <c r="N40" s="182"/>
      <c r="O40" s="189"/>
      <c r="P40" s="129" t="s">
        <v>52</v>
      </c>
      <c r="Q40" s="61"/>
      <c r="R40" s="115"/>
      <c r="S40" s="106">
        <v>0</v>
      </c>
      <c r="T40" s="133">
        <v>0</v>
      </c>
      <c r="U40" s="91">
        <v>10000</v>
      </c>
      <c r="V40" s="91">
        <f>-5000-1400</f>
        <v>-6400</v>
      </c>
      <c r="W40" s="91">
        <f>-3000</f>
        <v>-3000</v>
      </c>
      <c r="X40" s="91">
        <f>-2000</f>
        <v>-2000</v>
      </c>
      <c r="Y40" s="91">
        <f>-4000</f>
        <v>-4000</v>
      </c>
      <c r="Z40" s="97">
        <f>-3500</f>
        <v>-3500</v>
      </c>
      <c r="AA40" s="91"/>
      <c r="AB40" s="91"/>
      <c r="AC40" s="91"/>
      <c r="AD40" s="91"/>
      <c r="AE40" s="91"/>
      <c r="AF40" s="91"/>
      <c r="AG40" s="63"/>
      <c r="AH40" s="173"/>
      <c r="AQ40" s="90"/>
      <c r="AR40" s="55"/>
      <c r="AS40" s="84" t="s">
        <v>22</v>
      </c>
      <c r="AT40" s="58">
        <f>AT39*12</f>
        <v>313340.97055843862</v>
      </c>
      <c r="AU40" s="74"/>
    </row>
    <row r="41" spans="14:48" ht="15" customHeight="1" thickBot="1" x14ac:dyDescent="0.4">
      <c r="N41" s="182"/>
      <c r="O41" s="189"/>
      <c r="P41" s="129" t="s">
        <v>53</v>
      </c>
      <c r="Q41" s="61"/>
      <c r="R41" s="115"/>
      <c r="S41" s="107">
        <v>2214</v>
      </c>
      <c r="T41" s="133">
        <v>1707</v>
      </c>
      <c r="U41" s="91">
        <f t="shared" ref="U41:Z41" si="24">U39-T39-U40</f>
        <v>1258</v>
      </c>
      <c r="V41" s="91">
        <f t="shared" si="24"/>
        <v>1635</v>
      </c>
      <c r="W41" s="91">
        <f t="shared" si="24"/>
        <v>1796</v>
      </c>
      <c r="X41" s="91">
        <f t="shared" si="24"/>
        <v>1251</v>
      </c>
      <c r="Y41" s="91">
        <f t="shared" si="24"/>
        <v>1345</v>
      </c>
      <c r="Z41" s="97">
        <f t="shared" si="24"/>
        <v>3947</v>
      </c>
      <c r="AA41" s="91"/>
      <c r="AB41" s="91"/>
      <c r="AC41" s="91"/>
      <c r="AD41" s="91"/>
      <c r="AE41" s="91"/>
      <c r="AF41" s="91"/>
      <c r="AG41" s="63">
        <f>SUM(U41:AE41)</f>
        <v>11232</v>
      </c>
      <c r="AH41" s="173"/>
      <c r="AQ41" s="90"/>
      <c r="AR41" s="55"/>
      <c r="AS41" s="84" t="s">
        <v>19</v>
      </c>
      <c r="AT41" s="58">
        <f>($AT$29*12)+AU38</f>
        <v>96000</v>
      </c>
      <c r="AU41" s="55"/>
      <c r="AV41" s="55"/>
    </row>
    <row r="42" spans="14:48" ht="15" customHeight="1" thickBot="1" x14ac:dyDescent="0.4">
      <c r="N42" s="182"/>
      <c r="O42" s="192">
        <f>Z43/$Z$76</f>
        <v>8.790838709677419E-2</v>
      </c>
      <c r="P42" s="130" t="s">
        <v>54</v>
      </c>
      <c r="Q42" s="62"/>
      <c r="R42" s="115"/>
      <c r="S42" s="106">
        <v>1.9695230978623468E-2</v>
      </c>
      <c r="T42" s="134">
        <v>1.4734061836449324E-2</v>
      </c>
      <c r="U42" s="53">
        <f t="shared" ref="U42:Y42" si="25">U41/U39</f>
        <v>9.8967839385738568E-3</v>
      </c>
      <c r="V42" s="53">
        <f t="shared" si="25"/>
        <v>1.3363629676248703E-2</v>
      </c>
      <c r="W42" s="53">
        <f t="shared" si="25"/>
        <v>1.4825454215266256E-2</v>
      </c>
      <c r="X42" s="53">
        <f t="shared" si="25"/>
        <v>1.039088326660797E-2</v>
      </c>
      <c r="Y42" s="53">
        <f t="shared" si="25"/>
        <v>1.1423572478108358E-2</v>
      </c>
      <c r="Z42" s="100">
        <f t="shared" ref="Z42" si="26">Z41/Z39</f>
        <v>3.3396510585010065E-2</v>
      </c>
      <c r="AA42" s="53"/>
      <c r="AB42" s="53"/>
      <c r="AC42" s="53"/>
      <c r="AD42" s="53"/>
      <c r="AE42" s="53"/>
      <c r="AF42" s="53"/>
      <c r="AG42" s="67" t="e">
        <f>AG41/AC39</f>
        <v>#DIV/0!</v>
      </c>
      <c r="AH42" s="173"/>
      <c r="AQ42" s="90"/>
      <c r="AR42" s="228">
        <f>AR38+1</f>
        <v>2024</v>
      </c>
      <c r="AS42" s="126">
        <f>AS38+365</f>
        <v>45443</v>
      </c>
      <c r="AT42" s="149">
        <f>AT41+AT40+AT38+AU42</f>
        <v>1857407.9214671704</v>
      </c>
      <c r="AU42" s="33">
        <v>0</v>
      </c>
      <c r="AV42" s="55"/>
    </row>
    <row r="43" spans="14:48" ht="14.5" customHeight="1" thickBot="1" x14ac:dyDescent="0.4">
      <c r="N43" s="182"/>
      <c r="O43" s="189"/>
      <c r="P43" s="177" t="s">
        <v>29</v>
      </c>
      <c r="Q43" s="131"/>
      <c r="R43" s="114">
        <v>5000</v>
      </c>
      <c r="S43" s="65">
        <v>29485</v>
      </c>
      <c r="T43" s="131">
        <v>40750</v>
      </c>
      <c r="U43" s="73">
        <v>40493</v>
      </c>
      <c r="V43" s="73">
        <v>35546</v>
      </c>
      <c r="W43" s="73">
        <v>35540</v>
      </c>
      <c r="X43" s="73">
        <v>67882</v>
      </c>
      <c r="Y43" s="73">
        <v>68181</v>
      </c>
      <c r="Z43" s="97">
        <v>68129</v>
      </c>
      <c r="AA43" s="72"/>
      <c r="AB43" s="72"/>
      <c r="AC43" s="72"/>
      <c r="AD43" s="72"/>
      <c r="AE43" s="72"/>
      <c r="AF43" s="72"/>
      <c r="AG43" s="65"/>
      <c r="AH43" s="173"/>
      <c r="AQ43" s="90"/>
      <c r="AR43" s="56"/>
      <c r="AS43" s="146" t="s">
        <v>32</v>
      </c>
      <c r="AT43" s="148">
        <f>AT42*$AU$27</f>
        <v>33493.04167590577</v>
      </c>
      <c r="AU43" s="55"/>
      <c r="AV43" s="55"/>
    </row>
    <row r="44" spans="14:48" ht="15" customHeight="1" x14ac:dyDescent="0.35">
      <c r="N44" s="182"/>
      <c r="O44" s="189"/>
      <c r="P44" s="129" t="s">
        <v>52</v>
      </c>
      <c r="Q44" s="61"/>
      <c r="R44" s="113">
        <v>5000</v>
      </c>
      <c r="S44" s="63">
        <v>4719.47</v>
      </c>
      <c r="T44" s="17">
        <v>-1291.81</v>
      </c>
      <c r="U44" s="11">
        <f>-132.99-142.89</f>
        <v>-275.88</v>
      </c>
      <c r="V44" s="11">
        <f>-415.81-4995</f>
        <v>-5410.81</v>
      </c>
      <c r="W44" s="11">
        <f>-140.02-54-108.2</f>
        <v>-302.22000000000003</v>
      </c>
      <c r="X44" s="11">
        <f>7000+25000</f>
        <v>32000</v>
      </c>
      <c r="Y44" s="11">
        <f>-116.72</f>
        <v>-116.72</v>
      </c>
      <c r="Z44" s="13">
        <f>-140.02</f>
        <v>-140.02000000000001</v>
      </c>
      <c r="AA44" s="11"/>
      <c r="AB44" s="11"/>
      <c r="AC44" s="11"/>
      <c r="AD44" s="11"/>
      <c r="AE44" s="11"/>
      <c r="AF44" s="11"/>
      <c r="AG44" s="63"/>
      <c r="AH44" s="173"/>
      <c r="AQ44" s="90"/>
      <c r="AR44" s="55"/>
      <c r="AS44" s="84" t="s">
        <v>22</v>
      </c>
      <c r="AT44" s="58">
        <f>AT43*12</f>
        <v>401916.50011086924</v>
      </c>
      <c r="AU44" s="74"/>
    </row>
    <row r="45" spans="14:48" ht="15" customHeight="1" thickBot="1" x14ac:dyDescent="0.4">
      <c r="N45" s="182"/>
      <c r="O45" s="189"/>
      <c r="P45" s="129" t="s">
        <v>53</v>
      </c>
      <c r="Q45" s="61"/>
      <c r="R45" s="113">
        <v>55</v>
      </c>
      <c r="S45" s="63">
        <v>220.52999999999975</v>
      </c>
      <c r="T45" s="17">
        <v>581.80999999999995</v>
      </c>
      <c r="U45" s="11">
        <f t="shared" ref="U45:Z45" si="27">U43-T43-U44</f>
        <v>18.879999999999995</v>
      </c>
      <c r="V45" s="11">
        <f t="shared" si="27"/>
        <v>463.8100000000004</v>
      </c>
      <c r="W45" s="11">
        <f t="shared" si="27"/>
        <v>296.22000000000003</v>
      </c>
      <c r="X45" s="11">
        <f t="shared" si="27"/>
        <v>342</v>
      </c>
      <c r="Y45" s="11">
        <f t="shared" si="27"/>
        <v>415.72</v>
      </c>
      <c r="Z45" s="13">
        <f t="shared" si="27"/>
        <v>88.02000000000001</v>
      </c>
      <c r="AA45" s="11"/>
      <c r="AB45" s="11"/>
      <c r="AC45" s="11"/>
      <c r="AD45" s="11"/>
      <c r="AE45" s="11"/>
      <c r="AF45" s="11"/>
      <c r="AG45" s="63">
        <f>SUM(U45:AE45)</f>
        <v>1624.6500000000003</v>
      </c>
      <c r="AH45" s="173"/>
      <c r="AQ45" s="90"/>
      <c r="AR45" s="55"/>
      <c r="AS45" s="84" t="s">
        <v>19</v>
      </c>
      <c r="AT45" s="58">
        <f>($AT$29*12)+AU42</f>
        <v>96000</v>
      </c>
      <c r="AU45" s="55"/>
      <c r="AV45" s="55"/>
    </row>
    <row r="46" spans="14:48" ht="15" customHeight="1" thickBot="1" x14ac:dyDescent="0.4">
      <c r="N46" s="182"/>
      <c r="O46" s="192">
        <f>Z47/$Z$76</f>
        <v>0.04</v>
      </c>
      <c r="P46" s="130" t="s">
        <v>54</v>
      </c>
      <c r="Q46" s="62"/>
      <c r="R46" s="116"/>
      <c r="S46" s="104">
        <v>7.4793963032050107E-3</v>
      </c>
      <c r="T46" s="135">
        <v>1.4277546012269937E-2</v>
      </c>
      <c r="U46" s="59">
        <f t="shared" ref="U46:Y46" si="28">U45/U43</f>
        <v>4.6625342651816353E-4</v>
      </c>
      <c r="V46" s="59">
        <f t="shared" si="28"/>
        <v>1.3048162943791155E-2</v>
      </c>
      <c r="W46" s="59">
        <f t="shared" si="28"/>
        <v>8.334833989870569E-3</v>
      </c>
      <c r="X46" s="59">
        <f t="shared" si="28"/>
        <v>5.0381544444771812E-3</v>
      </c>
      <c r="Y46" s="59">
        <f t="shared" si="28"/>
        <v>6.0972998342646786E-3</v>
      </c>
      <c r="Z46" s="96">
        <f t="shared" ref="Z46" si="29">Z45/Z43</f>
        <v>1.2919608389966096E-3</v>
      </c>
      <c r="AA46" s="59"/>
      <c r="AB46" s="59"/>
      <c r="AC46" s="59"/>
      <c r="AD46" s="59"/>
      <c r="AE46" s="59"/>
      <c r="AF46" s="59"/>
      <c r="AG46" s="67"/>
      <c r="AH46" s="173"/>
      <c r="AQ46" s="90"/>
      <c r="AR46" s="228">
        <f>AR42+1</f>
        <v>2025</v>
      </c>
      <c r="AS46" s="126">
        <f>AS42+366</f>
        <v>45809</v>
      </c>
      <c r="AT46" s="149">
        <f>AT45+AT44+AT42+AU46</f>
        <v>2355324.4215780394</v>
      </c>
      <c r="AU46" s="33">
        <v>0</v>
      </c>
      <c r="AV46" s="55"/>
    </row>
    <row r="47" spans="14:48" ht="15" customHeight="1" thickBot="1" x14ac:dyDescent="0.4">
      <c r="N47" s="182"/>
      <c r="O47" s="189"/>
      <c r="P47" s="177" t="s">
        <v>62</v>
      </c>
      <c r="Q47" s="131"/>
      <c r="R47" s="114"/>
      <c r="S47" s="65">
        <v>20000</v>
      </c>
      <c r="T47" s="131">
        <v>31000</v>
      </c>
      <c r="U47" s="73">
        <f t="shared" ref="U47:Z47" si="30">T47</f>
        <v>31000</v>
      </c>
      <c r="V47" s="73">
        <f t="shared" si="30"/>
        <v>31000</v>
      </c>
      <c r="W47" s="73">
        <f t="shared" si="30"/>
        <v>31000</v>
      </c>
      <c r="X47" s="73">
        <f t="shared" si="30"/>
        <v>31000</v>
      </c>
      <c r="Y47" s="73">
        <f t="shared" si="30"/>
        <v>31000</v>
      </c>
      <c r="Z47" s="97">
        <f t="shared" si="30"/>
        <v>31000</v>
      </c>
      <c r="AA47" s="83"/>
      <c r="AB47" s="83"/>
      <c r="AC47" s="83"/>
      <c r="AD47" s="83"/>
      <c r="AE47" s="83"/>
      <c r="AF47" s="83"/>
      <c r="AG47" s="70"/>
      <c r="AH47" s="173"/>
      <c r="AQ47" s="90"/>
      <c r="AR47" s="56"/>
      <c r="AS47" s="146" t="s">
        <v>32</v>
      </c>
      <c r="AT47" s="148">
        <f>AT46*$AU$27</f>
        <v>42471.542250061546</v>
      </c>
      <c r="AU47" s="55"/>
      <c r="AV47" s="55"/>
    </row>
    <row r="48" spans="14:48" ht="15" customHeight="1" x14ac:dyDescent="0.35">
      <c r="N48" s="182"/>
      <c r="O48" s="189"/>
      <c r="P48" s="129" t="s">
        <v>52</v>
      </c>
      <c r="Q48" s="61"/>
      <c r="R48" s="115"/>
      <c r="S48" s="107">
        <v>0</v>
      </c>
      <c r="T48" s="133">
        <v>0</v>
      </c>
      <c r="U48" s="91">
        <v>0</v>
      </c>
      <c r="V48" s="91">
        <v>0</v>
      </c>
      <c r="W48" s="91">
        <v>0</v>
      </c>
      <c r="X48" s="91">
        <v>0</v>
      </c>
      <c r="Y48" s="91">
        <v>0</v>
      </c>
      <c r="Z48" s="97">
        <v>0</v>
      </c>
      <c r="AA48" s="91"/>
      <c r="AB48" s="91"/>
      <c r="AC48" s="91"/>
      <c r="AD48" s="91"/>
      <c r="AE48" s="91"/>
      <c r="AF48" s="91"/>
      <c r="AG48" s="63">
        <f>SUM(S48:AE48)</f>
        <v>0</v>
      </c>
      <c r="AH48" s="173"/>
      <c r="AQ48" s="90"/>
      <c r="AR48" s="55"/>
      <c r="AS48" s="84" t="s">
        <v>22</v>
      </c>
      <c r="AT48" s="58">
        <f>AT47*12</f>
        <v>509658.50700073852</v>
      </c>
      <c r="AU48" s="74"/>
    </row>
    <row r="49" spans="14:48" ht="15" customHeight="1" thickBot="1" x14ac:dyDescent="0.4">
      <c r="N49" s="182"/>
      <c r="O49" s="189"/>
      <c r="P49" s="129" t="s">
        <v>53</v>
      </c>
      <c r="Q49" s="61"/>
      <c r="R49" s="115"/>
      <c r="S49" s="107">
        <v>0</v>
      </c>
      <c r="T49" s="133">
        <v>0</v>
      </c>
      <c r="U49" s="91">
        <f t="shared" ref="U49:Z49" si="31">U47-T47-U48</f>
        <v>0</v>
      </c>
      <c r="V49" s="91">
        <f t="shared" si="31"/>
        <v>0</v>
      </c>
      <c r="W49" s="91">
        <f t="shared" si="31"/>
        <v>0</v>
      </c>
      <c r="X49" s="91">
        <f t="shared" si="31"/>
        <v>0</v>
      </c>
      <c r="Y49" s="91">
        <f t="shared" si="31"/>
        <v>0</v>
      </c>
      <c r="Z49" s="13">
        <f t="shared" si="31"/>
        <v>0</v>
      </c>
      <c r="AA49" s="91"/>
      <c r="AB49" s="91"/>
      <c r="AC49" s="91"/>
      <c r="AD49" s="91"/>
      <c r="AE49" s="91"/>
      <c r="AF49" s="91"/>
      <c r="AG49" s="63">
        <f>SUM(U49:AE49)</f>
        <v>0</v>
      </c>
      <c r="AH49" s="173"/>
      <c r="AQ49" s="90"/>
      <c r="AR49" s="55"/>
      <c r="AS49" s="84" t="s">
        <v>19</v>
      </c>
      <c r="AT49" s="58">
        <f>($AT$29*12)+AU46</f>
        <v>96000</v>
      </c>
      <c r="AU49" s="55"/>
      <c r="AV49" s="55"/>
    </row>
    <row r="50" spans="14:48" ht="15" customHeight="1" thickBot="1" x14ac:dyDescent="0.4">
      <c r="N50" s="182"/>
      <c r="O50" s="192">
        <f>Z51/$Z$76</f>
        <v>6.4516129032258063E-2</v>
      </c>
      <c r="P50" s="130" t="s">
        <v>54</v>
      </c>
      <c r="Q50" s="62"/>
      <c r="R50" s="116"/>
      <c r="S50" s="108">
        <v>0</v>
      </c>
      <c r="T50" s="136">
        <v>0</v>
      </c>
      <c r="U50" s="49">
        <f t="shared" ref="U50:Y50" si="32">U49/U47</f>
        <v>0</v>
      </c>
      <c r="V50" s="49">
        <f t="shared" si="32"/>
        <v>0</v>
      </c>
      <c r="W50" s="49">
        <f t="shared" si="32"/>
        <v>0</v>
      </c>
      <c r="X50" s="49">
        <f t="shared" si="32"/>
        <v>0</v>
      </c>
      <c r="Y50" s="49">
        <f t="shared" si="32"/>
        <v>0</v>
      </c>
      <c r="Z50" s="96">
        <f t="shared" ref="Z50" si="33">Z49/Z47</f>
        <v>0</v>
      </c>
      <c r="AA50" s="49"/>
      <c r="AB50" s="49"/>
      <c r="AC50" s="49"/>
      <c r="AD50" s="49"/>
      <c r="AE50" s="49"/>
      <c r="AF50" s="49"/>
      <c r="AG50" s="67" t="e">
        <f>AG49/AC47</f>
        <v>#DIV/0!</v>
      </c>
      <c r="AH50" s="173"/>
      <c r="AQ50" s="90"/>
      <c r="AR50" s="228">
        <f>AR46+1</f>
        <v>2026</v>
      </c>
      <c r="AS50" s="126">
        <f>AS46+365</f>
        <v>46174</v>
      </c>
      <c r="AT50" s="149">
        <f>AT49+AT48+AT46+AU50</f>
        <v>2960982.9285787782</v>
      </c>
      <c r="AU50" s="33">
        <v>0</v>
      </c>
      <c r="AV50" s="55"/>
    </row>
    <row r="51" spans="14:48" ht="15" customHeight="1" thickBot="1" x14ac:dyDescent="0.4">
      <c r="N51" s="182"/>
      <c r="O51" s="189"/>
      <c r="P51" s="177" t="s">
        <v>64</v>
      </c>
      <c r="Q51" s="131"/>
      <c r="R51" s="114"/>
      <c r="S51" s="65">
        <v>23143</v>
      </c>
      <c r="T51" s="131">
        <v>35081</v>
      </c>
      <c r="U51" s="73">
        <v>40081</v>
      </c>
      <c r="V51" s="73">
        <v>50264</v>
      </c>
      <c r="W51" s="73">
        <v>50070</v>
      </c>
      <c r="X51" s="73">
        <v>50157</v>
      </c>
      <c r="Y51" s="73">
        <v>50087</v>
      </c>
      <c r="Z51" s="97">
        <v>50000</v>
      </c>
      <c r="AA51" s="65"/>
      <c r="AB51" s="65"/>
      <c r="AC51" s="65"/>
      <c r="AD51" s="65"/>
      <c r="AE51" s="65"/>
      <c r="AF51" s="65"/>
      <c r="AG51" s="70"/>
      <c r="AH51" s="173"/>
      <c r="AQ51" s="90"/>
      <c r="AR51" s="56"/>
      <c r="AS51" s="146" t="s">
        <v>32</v>
      </c>
      <c r="AT51" s="148">
        <f>AT50*$AU$27</f>
        <v>53392.861892285953</v>
      </c>
      <c r="AU51" s="55"/>
      <c r="AV51" s="55"/>
    </row>
    <row r="52" spans="14:48" ht="15" customHeight="1" x14ac:dyDescent="0.35">
      <c r="N52" s="183"/>
      <c r="O52" s="190"/>
      <c r="P52" s="129" t="s">
        <v>52</v>
      </c>
      <c r="Q52" s="61"/>
      <c r="R52" s="115"/>
      <c r="S52" s="107">
        <v>0</v>
      </c>
      <c r="T52" s="133">
        <v>5000</v>
      </c>
      <c r="U52" s="91">
        <v>5000</v>
      </c>
      <c r="V52" s="91">
        <f>10000</f>
        <v>10000</v>
      </c>
      <c r="W52" s="91">
        <f>-480</f>
        <v>-480</v>
      </c>
      <c r="X52" s="91">
        <v>0</v>
      </c>
      <c r="Y52" s="91">
        <f>-157</f>
        <v>-157</v>
      </c>
      <c r="Z52" s="123">
        <f>-87</f>
        <v>-87</v>
      </c>
      <c r="AA52" s="91"/>
      <c r="AB52" s="91"/>
      <c r="AC52" s="91"/>
      <c r="AD52" s="91"/>
      <c r="AE52" s="91"/>
      <c r="AF52" s="91"/>
      <c r="AG52" s="63">
        <f>SUM(S52:AE52)</f>
        <v>19276</v>
      </c>
      <c r="AH52" s="173"/>
      <c r="AQ52" s="90"/>
      <c r="AR52" s="55"/>
      <c r="AS52" s="84" t="s">
        <v>22</v>
      </c>
      <c r="AT52" s="58">
        <f>AT51*12</f>
        <v>640714.34270743141</v>
      </c>
      <c r="AU52" s="74"/>
    </row>
    <row r="53" spans="14:48" ht="15" customHeight="1" thickBot="1" x14ac:dyDescent="0.4">
      <c r="N53" s="182"/>
      <c r="O53" s="189"/>
      <c r="P53" s="129" t="s">
        <v>53</v>
      </c>
      <c r="Q53" s="61"/>
      <c r="R53" s="115"/>
      <c r="S53" s="107">
        <v>3</v>
      </c>
      <c r="T53" s="133">
        <v>11</v>
      </c>
      <c r="U53" s="91">
        <f t="shared" ref="U53:Z53" si="34">U51-T51-U52</f>
        <v>0</v>
      </c>
      <c r="V53" s="91">
        <f t="shared" si="34"/>
        <v>183</v>
      </c>
      <c r="W53" s="91">
        <f t="shared" si="34"/>
        <v>286</v>
      </c>
      <c r="X53" s="91">
        <f t="shared" si="34"/>
        <v>87</v>
      </c>
      <c r="Y53" s="91">
        <f t="shared" si="34"/>
        <v>87</v>
      </c>
      <c r="Z53" s="13">
        <f t="shared" si="34"/>
        <v>0</v>
      </c>
      <c r="AA53" s="91"/>
      <c r="AB53" s="91"/>
      <c r="AC53" s="91"/>
      <c r="AD53" s="91"/>
      <c r="AE53" s="91"/>
      <c r="AF53" s="91"/>
      <c r="AG53" s="63">
        <f>SUM(U53:AE53)</f>
        <v>643</v>
      </c>
      <c r="AH53" s="173"/>
      <c r="AQ53" s="90"/>
      <c r="AR53" s="55"/>
      <c r="AS53" s="55" t="s">
        <v>19</v>
      </c>
      <c r="AT53" s="58">
        <f>($AT$29*12)+AU50</f>
        <v>96000</v>
      </c>
      <c r="AU53" s="55"/>
      <c r="AV53" s="55"/>
    </row>
    <row r="54" spans="14:48" ht="14.25" customHeight="1" thickBot="1" x14ac:dyDescent="0.4">
      <c r="N54" s="182"/>
      <c r="O54" s="192">
        <f>Z55/$Z$76</f>
        <v>0.12346193548387097</v>
      </c>
      <c r="P54" s="130" t="s">
        <v>54</v>
      </c>
      <c r="Q54" s="62"/>
      <c r="R54" s="115"/>
      <c r="S54" s="106">
        <v>1.2962882945167004E-4</v>
      </c>
      <c r="T54" s="134">
        <v>3.1356004674895242E-4</v>
      </c>
      <c r="U54" s="53">
        <f t="shared" ref="U54:Y54" si="35">U53/U51</f>
        <v>0</v>
      </c>
      <c r="V54" s="53">
        <f t="shared" si="35"/>
        <v>3.6407766990291263E-3</v>
      </c>
      <c r="W54" s="53">
        <f t="shared" si="35"/>
        <v>5.7120031955262629E-3</v>
      </c>
      <c r="X54" s="53">
        <f t="shared" si="35"/>
        <v>1.7345535020037084E-3</v>
      </c>
      <c r="Y54" s="53">
        <f t="shared" si="35"/>
        <v>1.7369776588735601E-3</v>
      </c>
      <c r="Z54" s="96">
        <f t="shared" ref="Z54" si="36">Z53/Z51</f>
        <v>0</v>
      </c>
      <c r="AA54" s="53"/>
      <c r="AB54" s="53"/>
      <c r="AC54" s="53"/>
      <c r="AD54" s="53"/>
      <c r="AE54" s="53"/>
      <c r="AF54" s="53"/>
      <c r="AG54" s="67" t="e">
        <f>AG53/AC51</f>
        <v>#DIV/0!</v>
      </c>
      <c r="AH54" s="173"/>
      <c r="AQ54" s="90"/>
      <c r="AR54" s="228">
        <f>AR50+1</f>
        <v>2027</v>
      </c>
      <c r="AS54" s="126">
        <f>AS50+365</f>
        <v>46539</v>
      </c>
      <c r="AT54" s="149">
        <f>AT53+AT52+AT50+AU54</f>
        <v>3697697.2712862096</v>
      </c>
      <c r="AU54" s="33">
        <v>0</v>
      </c>
      <c r="AV54" s="55"/>
    </row>
    <row r="55" spans="14:48" ht="15" customHeight="1" thickBot="1" x14ac:dyDescent="0.4">
      <c r="N55" s="182"/>
      <c r="O55" s="189"/>
      <c r="P55" s="177" t="s">
        <v>63</v>
      </c>
      <c r="Q55" s="131"/>
      <c r="R55" s="114"/>
      <c r="S55" s="65">
        <f>1047.55+19013.14</f>
        <v>20060.689999999999</v>
      </c>
      <c r="T55" s="131">
        <v>102926</v>
      </c>
      <c r="U55" s="73">
        <v>138959</v>
      </c>
      <c r="V55" s="73">
        <v>144640</v>
      </c>
      <c r="W55" s="73">
        <v>132999</v>
      </c>
      <c r="X55" s="73">
        <v>114994</v>
      </c>
      <c r="Y55" s="73">
        <v>100243</v>
      </c>
      <c r="Z55" s="97">
        <v>95683</v>
      </c>
      <c r="AA55" s="65"/>
      <c r="AB55" s="65"/>
      <c r="AC55" s="65"/>
      <c r="AD55" s="65"/>
      <c r="AE55" s="65"/>
      <c r="AF55" s="65"/>
      <c r="AG55" s="93">
        <v>876</v>
      </c>
      <c r="AH55" s="173"/>
      <c r="AQ55" s="90"/>
      <c r="AR55" s="56"/>
      <c r="AS55" s="146" t="s">
        <v>32</v>
      </c>
      <c r="AT55" s="148">
        <f>AT54*$AU$27</f>
        <v>66677.398852829792</v>
      </c>
      <c r="AU55" s="55"/>
      <c r="AV55" s="55"/>
    </row>
    <row r="56" spans="14:48" ht="14.25" customHeight="1" x14ac:dyDescent="0.35">
      <c r="N56" s="183"/>
      <c r="O56" s="190"/>
      <c r="P56" s="129" t="s">
        <v>52</v>
      </c>
      <c r="Q56" s="61"/>
      <c r="R56" s="115"/>
      <c r="S56" s="107">
        <v>876</v>
      </c>
      <c r="T56" s="133">
        <v>0</v>
      </c>
      <c r="U56" s="91">
        <v>35000</v>
      </c>
      <c r="V56" s="91">
        <f>5000</f>
        <v>5000</v>
      </c>
      <c r="W56" s="91">
        <f>-6000-3000-5000</f>
        <v>-14000</v>
      </c>
      <c r="X56" s="91">
        <f>-1900-6000-1300-10300</f>
        <v>-19500</v>
      </c>
      <c r="Y56" s="91">
        <f>-2000-5000-8700</f>
        <v>-15700</v>
      </c>
      <c r="Z56" s="123">
        <f>-5000</f>
        <v>-5000</v>
      </c>
      <c r="AA56" s="91"/>
      <c r="AB56" s="91"/>
      <c r="AC56" s="91"/>
      <c r="AD56" s="91"/>
      <c r="AE56" s="91"/>
      <c r="AF56" s="91"/>
      <c r="AG56" s="63">
        <f>SUM(S56:AE56)</f>
        <v>-13324</v>
      </c>
      <c r="AH56" s="173"/>
      <c r="AQ56" s="90"/>
      <c r="AR56" s="55"/>
      <c r="AS56" s="84" t="s">
        <v>22</v>
      </c>
      <c r="AT56" s="58">
        <f>AT55*12</f>
        <v>800128.78623395751</v>
      </c>
      <c r="AU56" s="74"/>
    </row>
    <row r="57" spans="14:48" ht="15" customHeight="1" thickBot="1" x14ac:dyDescent="0.4">
      <c r="N57" s="182"/>
      <c r="O57" s="189"/>
      <c r="P57" s="129" t="s">
        <v>53</v>
      </c>
      <c r="Q57" s="61"/>
      <c r="R57" s="115"/>
      <c r="S57" s="107">
        <v>82.200000000000728</v>
      </c>
      <c r="T57" s="133">
        <v>784</v>
      </c>
      <c r="U57" s="91">
        <f t="shared" ref="U57:Z57" si="37">U55-T55-U56</f>
        <v>1033</v>
      </c>
      <c r="V57" s="91">
        <f t="shared" si="37"/>
        <v>681</v>
      </c>
      <c r="W57" s="91">
        <f t="shared" si="37"/>
        <v>2359</v>
      </c>
      <c r="X57" s="91">
        <f t="shared" si="37"/>
        <v>1495</v>
      </c>
      <c r="Y57" s="91">
        <f t="shared" si="37"/>
        <v>949</v>
      </c>
      <c r="Z57" s="13">
        <f t="shared" si="37"/>
        <v>440</v>
      </c>
      <c r="AA57" s="91"/>
      <c r="AB57" s="91"/>
      <c r="AC57" s="91"/>
      <c r="AD57" s="91"/>
      <c r="AE57" s="91"/>
      <c r="AF57" s="91"/>
      <c r="AG57" s="63">
        <f>SUM(U57:AE57)</f>
        <v>6957</v>
      </c>
      <c r="AH57" s="173"/>
      <c r="AQ57" s="90"/>
      <c r="AR57" s="55"/>
      <c r="AS57" s="55" t="s">
        <v>19</v>
      </c>
      <c r="AT57" s="58">
        <f>($AT$29*12)+AU54</f>
        <v>96000</v>
      </c>
      <c r="AU57" s="55"/>
      <c r="AV57" s="55"/>
    </row>
    <row r="58" spans="14:48" ht="15" customHeight="1" thickBot="1" x14ac:dyDescent="0.4">
      <c r="N58" s="182"/>
      <c r="O58" s="192">
        <f>Z59/$Z$76</f>
        <v>4.1548387096774192E-2</v>
      </c>
      <c r="P58" s="130" t="s">
        <v>54</v>
      </c>
      <c r="Q58" s="62"/>
      <c r="R58" s="116"/>
      <c r="S58" s="108">
        <v>4.1073302353470606E-3</v>
      </c>
      <c r="T58" s="136">
        <v>7.6171229815595667E-3</v>
      </c>
      <c r="U58" s="49">
        <f t="shared" ref="U58:V58" si="38">U57/U55</f>
        <v>7.4338473938355921E-3</v>
      </c>
      <c r="V58" s="49">
        <f t="shared" si="38"/>
        <v>4.7082411504424781E-3</v>
      </c>
      <c r="W58" s="49">
        <f>W57/W55</f>
        <v>1.7736975465980947E-2</v>
      </c>
      <c r="X58" s="49">
        <f>X57/X55</f>
        <v>1.3000678296258936E-2</v>
      </c>
      <c r="Y58" s="49">
        <f>Y57/Y55</f>
        <v>9.4669952016599671E-3</v>
      </c>
      <c r="Z58" s="96">
        <f>Z57/Z55</f>
        <v>4.5985180230552975E-3</v>
      </c>
      <c r="AA58" s="49"/>
      <c r="AB58" s="49"/>
      <c r="AC58" s="49"/>
      <c r="AD58" s="49"/>
      <c r="AE58" s="49"/>
      <c r="AF58" s="49"/>
      <c r="AG58" s="67" t="e">
        <f>AG57/AC55</f>
        <v>#DIV/0!</v>
      </c>
      <c r="AH58" s="173"/>
      <c r="AQ58" s="90"/>
      <c r="AR58" s="228">
        <f>AR54+1</f>
        <v>2028</v>
      </c>
      <c r="AS58" s="126">
        <f>AS54+365</f>
        <v>46904</v>
      </c>
      <c r="AT58" s="149">
        <f>AT57+AT56+AT54+AU58</f>
        <v>4593826.057520167</v>
      </c>
      <c r="AU58" s="33">
        <v>0</v>
      </c>
      <c r="AV58" s="55"/>
    </row>
    <row r="59" spans="14:48" ht="15" customHeight="1" thickBot="1" x14ac:dyDescent="0.4">
      <c r="N59" s="182"/>
      <c r="O59" s="189"/>
      <c r="P59" s="177" t="s">
        <v>65</v>
      </c>
      <c r="Q59" s="131"/>
      <c r="R59" s="120"/>
      <c r="S59" s="109">
        <v>22045</v>
      </c>
      <c r="T59" s="137">
        <v>21701</v>
      </c>
      <c r="U59" s="73">
        <v>21233</v>
      </c>
      <c r="V59" s="73">
        <v>27381</v>
      </c>
      <c r="W59" s="73">
        <v>28520</v>
      </c>
      <c r="X59" s="73">
        <v>31724</v>
      </c>
      <c r="Y59" s="73">
        <v>31760</v>
      </c>
      <c r="Z59" s="97">
        <v>32200</v>
      </c>
      <c r="AA59" s="94"/>
      <c r="AB59" s="94"/>
      <c r="AC59" s="94"/>
      <c r="AD59" s="94"/>
      <c r="AE59" s="94"/>
      <c r="AF59" s="94"/>
      <c r="AG59" s="70"/>
      <c r="AH59" s="173"/>
      <c r="AQ59" s="90"/>
      <c r="AR59" s="56"/>
      <c r="AS59" s="146" t="s">
        <v>32</v>
      </c>
      <c r="AT59" s="148">
        <f>AT58*$AU$27</f>
        <v>82836.519548624274</v>
      </c>
      <c r="AU59" s="55"/>
      <c r="AV59" s="55"/>
    </row>
    <row r="60" spans="14:48" ht="15" customHeight="1" x14ac:dyDescent="0.35">
      <c r="N60" s="183"/>
      <c r="O60" s="190"/>
      <c r="P60" s="129" t="s">
        <v>52</v>
      </c>
      <c r="Q60" s="61"/>
      <c r="R60" s="115"/>
      <c r="S60" s="107">
        <v>1000</v>
      </c>
      <c r="T60" s="133">
        <v>0</v>
      </c>
      <c r="U60" s="91">
        <v>0</v>
      </c>
      <c r="V60" s="91">
        <f>5000</f>
        <v>5000</v>
      </c>
      <c r="W60" s="91">
        <f>638.58</f>
        <v>638.58000000000004</v>
      </c>
      <c r="X60" s="91">
        <f>3000</f>
        <v>3000</v>
      </c>
      <c r="Y60" s="91">
        <v>0</v>
      </c>
      <c r="Z60" s="97">
        <v>0</v>
      </c>
      <c r="AA60" s="91"/>
      <c r="AB60" s="91"/>
      <c r="AC60" s="91"/>
      <c r="AD60" s="91"/>
      <c r="AE60" s="91"/>
      <c r="AF60" s="91"/>
      <c r="AG60" s="63">
        <f>SUM(S60:AE60)</f>
        <v>9638.58</v>
      </c>
      <c r="AH60" s="173"/>
      <c r="AQ60" s="90"/>
      <c r="AR60" s="55"/>
      <c r="AS60" s="84" t="s">
        <v>22</v>
      </c>
      <c r="AT60" s="58">
        <f>AT59*12</f>
        <v>994038.23458349123</v>
      </c>
      <c r="AU60" s="74"/>
    </row>
    <row r="61" spans="14:48" ht="14.5" customHeight="1" thickBot="1" x14ac:dyDescent="0.4">
      <c r="N61" s="182"/>
      <c r="O61" s="189"/>
      <c r="P61" s="129" t="s">
        <v>53</v>
      </c>
      <c r="Q61" s="61"/>
      <c r="R61" s="115"/>
      <c r="S61" s="107">
        <v>-444</v>
      </c>
      <c r="T61" s="133">
        <v>407</v>
      </c>
      <c r="U61" s="91">
        <f t="shared" ref="U61:Z61" si="39">U59-T59-U60</f>
        <v>-468</v>
      </c>
      <c r="V61" s="91">
        <f t="shared" si="39"/>
        <v>1148</v>
      </c>
      <c r="W61" s="91">
        <f t="shared" si="39"/>
        <v>500.41999999999996</v>
      </c>
      <c r="X61" s="91">
        <f t="shared" si="39"/>
        <v>204</v>
      </c>
      <c r="Y61" s="91">
        <f t="shared" si="39"/>
        <v>36</v>
      </c>
      <c r="Z61" s="13">
        <f t="shared" si="39"/>
        <v>440</v>
      </c>
      <c r="AA61" s="91"/>
      <c r="AB61" s="91"/>
      <c r="AC61" s="91"/>
      <c r="AD61" s="91"/>
      <c r="AE61" s="91"/>
      <c r="AF61" s="91"/>
      <c r="AG61" s="63">
        <f>SUM(U61:AE61)</f>
        <v>1860.42</v>
      </c>
      <c r="AH61" s="173"/>
      <c r="AQ61" s="90"/>
      <c r="AR61" s="55"/>
      <c r="AS61" s="55" t="s">
        <v>19</v>
      </c>
      <c r="AT61" s="58">
        <f>($AT$29*12)+AU58</f>
        <v>96000</v>
      </c>
      <c r="AU61" s="55"/>
      <c r="AV61" s="55"/>
    </row>
    <row r="62" spans="14:48" ht="15" customHeight="1" thickBot="1" x14ac:dyDescent="0.4">
      <c r="N62" s="183"/>
      <c r="O62" s="192">
        <f>Z63/$Z$76</f>
        <v>4.6438709677419351E-2</v>
      </c>
      <c r="P62" s="130" t="s">
        <v>54</v>
      </c>
      <c r="Q62" s="62"/>
      <c r="R62" s="116"/>
      <c r="S62" s="108">
        <v>-2.0140621456112496E-2</v>
      </c>
      <c r="T62" s="136">
        <v>1.8754896087737893E-2</v>
      </c>
      <c r="U62" s="49">
        <f t="shared" ref="U62:Y62" si="40">U61/U59</f>
        <v>-2.2041162341638016E-2</v>
      </c>
      <c r="V62" s="49">
        <f t="shared" si="40"/>
        <v>4.1926883605419817E-2</v>
      </c>
      <c r="W62" s="49">
        <f t="shared" si="40"/>
        <v>1.7546283309957923E-2</v>
      </c>
      <c r="X62" s="49">
        <f t="shared" si="40"/>
        <v>6.4304627411423529E-3</v>
      </c>
      <c r="Y62" s="49">
        <f t="shared" si="40"/>
        <v>1.1335012594458438E-3</v>
      </c>
      <c r="Z62" s="96">
        <f t="shared" ref="Z62" si="41">Z61/Z59</f>
        <v>1.3664596273291925E-2</v>
      </c>
      <c r="AA62" s="49"/>
      <c r="AB62" s="49"/>
      <c r="AC62" s="49"/>
      <c r="AD62" s="49"/>
      <c r="AE62" s="49"/>
      <c r="AF62" s="49"/>
      <c r="AG62" s="67" t="e">
        <f>AG61/AC59</f>
        <v>#DIV/0!</v>
      </c>
      <c r="AH62" s="173"/>
      <c r="AQ62" s="90"/>
      <c r="AR62" s="228">
        <f>AR58+1</f>
        <v>2029</v>
      </c>
      <c r="AS62" s="126">
        <f>AS58+366</f>
        <v>47270</v>
      </c>
      <c r="AT62" s="149">
        <f>AT61+AT60+AT58+AU62</f>
        <v>5683864.2921036584</v>
      </c>
      <c r="AU62" s="33">
        <v>0</v>
      </c>
      <c r="AV62" s="55"/>
    </row>
    <row r="63" spans="14:48" ht="15" customHeight="1" thickBot="1" x14ac:dyDescent="0.4">
      <c r="N63" s="183"/>
      <c r="O63" s="190"/>
      <c r="P63" s="177" t="s">
        <v>67</v>
      </c>
      <c r="Q63" s="131"/>
      <c r="R63" s="120"/>
      <c r="S63" s="109"/>
      <c r="T63" s="137"/>
      <c r="U63" s="73"/>
      <c r="V63" s="73"/>
      <c r="W63" s="73">
        <v>1</v>
      </c>
      <c r="X63" s="73">
        <v>26900</v>
      </c>
      <c r="Y63" s="73">
        <v>29848</v>
      </c>
      <c r="Z63" s="97">
        <v>35990</v>
      </c>
      <c r="AA63" s="94"/>
      <c r="AB63" s="94"/>
      <c r="AC63" s="94"/>
      <c r="AD63" s="94"/>
      <c r="AE63" s="94"/>
      <c r="AF63" s="94"/>
      <c r="AG63" s="70"/>
      <c r="AH63" s="173"/>
      <c r="AQ63" s="90"/>
      <c r="AR63" s="56"/>
      <c r="AS63" s="146" t="s">
        <v>32</v>
      </c>
      <c r="AT63" s="148">
        <f>AT62*$AU$27</f>
        <v>102492.24277306134</v>
      </c>
      <c r="AU63" s="55"/>
      <c r="AV63" s="55"/>
    </row>
    <row r="64" spans="14:48" ht="15" customHeight="1" x14ac:dyDescent="0.35">
      <c r="N64" s="183"/>
      <c r="O64" s="190"/>
      <c r="P64" s="129" t="s">
        <v>52</v>
      </c>
      <c r="Q64" s="61"/>
      <c r="R64" s="115"/>
      <c r="S64" s="107"/>
      <c r="T64" s="133"/>
      <c r="U64" s="91"/>
      <c r="V64" s="91"/>
      <c r="W64" s="91"/>
      <c r="X64" s="91">
        <f>25000+2000</f>
        <v>27000</v>
      </c>
      <c r="Y64" s="91">
        <f>2500</f>
        <v>2500</v>
      </c>
      <c r="Z64" s="97">
        <f>5000</f>
        <v>5000</v>
      </c>
      <c r="AA64" s="91"/>
      <c r="AB64" s="91"/>
      <c r="AC64" s="91"/>
      <c r="AD64" s="91"/>
      <c r="AE64" s="91"/>
      <c r="AF64" s="91"/>
      <c r="AG64" s="63">
        <f>SUM(S64:AE64)</f>
        <v>34500</v>
      </c>
      <c r="AH64" s="173"/>
      <c r="AQ64" s="90"/>
      <c r="AR64" s="55"/>
      <c r="AS64" s="84" t="s">
        <v>22</v>
      </c>
      <c r="AT64" s="58">
        <f>AT63*12</f>
        <v>1229906.9132767362</v>
      </c>
      <c r="AU64" s="74"/>
      <c r="AV64" s="55"/>
    </row>
    <row r="65" spans="14:48" ht="15" customHeight="1" thickBot="1" x14ac:dyDescent="0.4">
      <c r="N65" s="182"/>
      <c r="O65" s="189"/>
      <c r="P65" s="129" t="s">
        <v>53</v>
      </c>
      <c r="Q65" s="61"/>
      <c r="R65" s="115"/>
      <c r="S65" s="107"/>
      <c r="T65" s="133"/>
      <c r="U65" s="91"/>
      <c r="V65" s="91"/>
      <c r="W65" s="91"/>
      <c r="X65" s="91">
        <f t="shared" ref="X65:Z65" si="42">X63-W63-X64</f>
        <v>-101</v>
      </c>
      <c r="Y65" s="91">
        <f t="shared" si="42"/>
        <v>448</v>
      </c>
      <c r="Z65" s="13">
        <f t="shared" si="42"/>
        <v>1142</v>
      </c>
      <c r="AA65" s="91"/>
      <c r="AB65" s="91"/>
      <c r="AC65" s="91"/>
      <c r="AD65" s="91"/>
      <c r="AE65" s="91"/>
      <c r="AF65" s="91"/>
      <c r="AG65" s="63">
        <f>SUM(U65:AE65)</f>
        <v>1489</v>
      </c>
      <c r="AH65" s="173"/>
      <c r="AQ65" s="90"/>
      <c r="AR65" s="55"/>
      <c r="AS65" s="55" t="s">
        <v>19</v>
      </c>
      <c r="AT65" s="58">
        <f>($AT$29*12)+AU62</f>
        <v>96000</v>
      </c>
      <c r="AU65" s="55"/>
      <c r="AV65" s="55"/>
    </row>
    <row r="66" spans="14:48" ht="15" customHeight="1" thickBot="1" x14ac:dyDescent="0.4">
      <c r="N66" s="182"/>
      <c r="O66" s="192">
        <f>Z67/$Z$76</f>
        <v>0.18461548387096774</v>
      </c>
      <c r="P66" s="130" t="s">
        <v>54</v>
      </c>
      <c r="Q66" s="62"/>
      <c r="R66" s="116"/>
      <c r="S66" s="108"/>
      <c r="T66" s="136"/>
      <c r="U66" s="49"/>
      <c r="V66" s="49"/>
      <c r="W66" s="49"/>
      <c r="X66" s="49">
        <f t="shared" ref="X66:Y66" si="43">X65/X63</f>
        <v>-3.7546468401486988E-3</v>
      </c>
      <c r="Y66" s="49">
        <f t="shared" si="43"/>
        <v>1.50093808630394E-2</v>
      </c>
      <c r="Z66" s="96">
        <f t="shared" ref="Z66" si="44">Z65/Z63</f>
        <v>3.1731036398999719E-2</v>
      </c>
      <c r="AA66" s="49"/>
      <c r="AB66" s="49"/>
      <c r="AC66" s="49"/>
      <c r="AD66" s="49"/>
      <c r="AE66" s="49"/>
      <c r="AF66" s="49"/>
      <c r="AG66" s="67" t="e">
        <f>AG65/AC63</f>
        <v>#DIV/0!</v>
      </c>
      <c r="AH66" s="173"/>
      <c r="AQ66" s="90"/>
      <c r="AR66" s="228">
        <f>AR62+1</f>
        <v>2030</v>
      </c>
      <c r="AS66" s="126">
        <f>AS62+365</f>
        <v>47635</v>
      </c>
      <c r="AT66" s="149">
        <f>AT65+AT64+AT62+AU66</f>
        <v>7009771.2053803951</v>
      </c>
      <c r="AU66" s="33">
        <v>0</v>
      </c>
      <c r="AV66" s="55"/>
    </row>
    <row r="67" spans="14:48" ht="15" customHeight="1" thickBot="1" x14ac:dyDescent="0.4">
      <c r="P67" s="177" t="s">
        <v>66</v>
      </c>
      <c r="Q67" s="131"/>
      <c r="R67" s="115"/>
      <c r="S67" s="103">
        <v>31426</v>
      </c>
      <c r="T67" s="137">
        <v>97400</v>
      </c>
      <c r="U67" s="73">
        <v>79400</v>
      </c>
      <c r="V67" s="73">
        <v>109094</v>
      </c>
      <c r="W67" s="73">
        <v>118900</v>
      </c>
      <c r="X67" s="73">
        <v>125720</v>
      </c>
      <c r="Y67" s="73">
        <v>134216</v>
      </c>
      <c r="Z67" s="97">
        <v>143077</v>
      </c>
      <c r="AA67" s="71"/>
      <c r="AB67" s="71"/>
      <c r="AC67" s="71"/>
      <c r="AD67" s="71"/>
      <c r="AE67" s="71"/>
      <c r="AF67" s="71"/>
      <c r="AG67" s="68"/>
      <c r="AH67" s="173"/>
      <c r="AQ67" s="90"/>
      <c r="AR67" s="56"/>
      <c r="AS67" s="146" t="s">
        <v>32</v>
      </c>
      <c r="AT67" s="148">
        <f>AT66*$AU$27</f>
        <v>126401.1832871466</v>
      </c>
      <c r="AU67" s="55"/>
      <c r="AV67" s="55"/>
    </row>
    <row r="68" spans="14:48" ht="14.5" customHeight="1" x14ac:dyDescent="0.35">
      <c r="P68" s="129" t="s">
        <v>52</v>
      </c>
      <c r="Q68" s="61"/>
      <c r="R68" s="115"/>
      <c r="S68" s="107">
        <v>1200</v>
      </c>
      <c r="T68" s="133">
        <v>0</v>
      </c>
      <c r="U68" s="91">
        <f>-20000</f>
        <v>-20000</v>
      </c>
      <c r="V68" s="91">
        <f>5000+5000+5000+3408+10000</f>
        <v>28408</v>
      </c>
      <c r="W68" s="91"/>
      <c r="X68" s="91">
        <f>-3000-2000</f>
        <v>-5000</v>
      </c>
      <c r="Y68" s="91">
        <f>2500+4000</f>
        <v>6500</v>
      </c>
      <c r="Z68" s="97">
        <f>5000+87+140.02</f>
        <v>5227.0200000000004</v>
      </c>
      <c r="AA68" s="91"/>
      <c r="AB68" s="91"/>
      <c r="AC68" s="91"/>
      <c r="AD68" s="91"/>
      <c r="AE68" s="91"/>
      <c r="AF68" s="91"/>
      <c r="AG68" s="63">
        <f>SUM(U68:AE68)</f>
        <v>15135.02</v>
      </c>
      <c r="AH68" s="173"/>
      <c r="AQ68" s="90"/>
      <c r="AR68" s="55"/>
      <c r="AS68" s="84" t="s">
        <v>22</v>
      </c>
      <c r="AT68" s="58">
        <f>AT67*12</f>
        <v>1516814.1994457592</v>
      </c>
      <c r="AU68" s="74"/>
      <c r="AV68" s="55"/>
    </row>
    <row r="69" spans="14:48" ht="15" customHeight="1" thickBot="1" x14ac:dyDescent="0.4">
      <c r="N69" s="182"/>
      <c r="O69" s="189"/>
      <c r="P69" s="129" t="s">
        <v>53</v>
      </c>
      <c r="Q69" s="61"/>
      <c r="R69" s="115"/>
      <c r="S69" s="107">
        <v>1493</v>
      </c>
      <c r="T69" s="133">
        <v>7500</v>
      </c>
      <c r="U69" s="91">
        <f t="shared" ref="U69:Z69" si="45">U67-T67-U68</f>
        <v>2000</v>
      </c>
      <c r="V69" s="91">
        <f t="shared" si="45"/>
        <v>1286</v>
      </c>
      <c r="W69" s="91">
        <f t="shared" si="45"/>
        <v>9806</v>
      </c>
      <c r="X69" s="91">
        <f t="shared" si="45"/>
        <v>11820</v>
      </c>
      <c r="Y69" s="91">
        <f t="shared" si="45"/>
        <v>1996</v>
      </c>
      <c r="Z69" s="13">
        <f t="shared" si="45"/>
        <v>3633.9799999999996</v>
      </c>
      <c r="AA69" s="91"/>
      <c r="AB69" s="91"/>
      <c r="AC69" s="91"/>
      <c r="AD69" s="91"/>
      <c r="AE69" s="91"/>
      <c r="AF69" s="91"/>
      <c r="AG69" s="63">
        <f>SUM(U69:AE69)</f>
        <v>30541.98</v>
      </c>
      <c r="AH69" s="173"/>
      <c r="AQ69" s="90"/>
      <c r="AR69" s="55"/>
      <c r="AS69" s="55" t="s">
        <v>19</v>
      </c>
      <c r="AT69" s="58">
        <f>($AT$29*12)+AU66</f>
        <v>96000</v>
      </c>
      <c r="AU69" s="55"/>
      <c r="AV69" s="55"/>
    </row>
    <row r="70" spans="14:48" ht="14.5" customHeight="1" thickBot="1" x14ac:dyDescent="0.4">
      <c r="N70" s="182"/>
      <c r="O70" s="189"/>
      <c r="P70" s="130" t="s">
        <v>54</v>
      </c>
      <c r="Q70" s="62"/>
      <c r="R70" s="115"/>
      <c r="S70" s="106">
        <v>4.7508432508114297E-2</v>
      </c>
      <c r="T70" s="134">
        <v>7.7002053388090352E-2</v>
      </c>
      <c r="U70" s="53">
        <f t="shared" ref="U70:Y70" si="46">U69/U67</f>
        <v>2.5188916876574308E-2</v>
      </c>
      <c r="V70" s="53">
        <f t="shared" si="46"/>
        <v>1.1787999340018699E-2</v>
      </c>
      <c r="W70" s="53">
        <f t="shared" si="46"/>
        <v>8.2472666105971398E-2</v>
      </c>
      <c r="X70" s="53">
        <f t="shared" si="46"/>
        <v>9.4018453706649699E-2</v>
      </c>
      <c r="Y70" s="53">
        <f t="shared" si="46"/>
        <v>1.4871550336770579E-2</v>
      </c>
      <c r="Z70" s="96">
        <f t="shared" ref="Z70" si="47">Z69/Z67</f>
        <v>2.5398771290983172E-2</v>
      </c>
      <c r="AA70" s="53"/>
      <c r="AB70" s="53"/>
      <c r="AC70" s="53"/>
      <c r="AD70" s="53"/>
      <c r="AE70" s="53"/>
      <c r="AF70" s="53"/>
      <c r="AG70" s="67" t="e">
        <f>AG69/AE67</f>
        <v>#DIV/0!</v>
      </c>
      <c r="AH70" s="173"/>
      <c r="AQ70" s="90"/>
      <c r="AR70" s="228">
        <f>AR66+1</f>
        <v>2031</v>
      </c>
      <c r="AS70" s="126">
        <f>AS66+365</f>
        <v>48000</v>
      </c>
      <c r="AT70" s="149">
        <f>AT69+AT68+AT66+AU70</f>
        <v>8622585.4048261549</v>
      </c>
      <c r="AU70" s="33">
        <v>0</v>
      </c>
    </row>
    <row r="71" spans="14:48" ht="15" customHeight="1" thickBot="1" x14ac:dyDescent="0.4">
      <c r="P71" s="25" t="s">
        <v>14</v>
      </c>
      <c r="Q71" s="47"/>
      <c r="R71" s="121">
        <v>1963.9200000000046</v>
      </c>
      <c r="S71" s="110">
        <f>S17+S33+S45+S41+S49+S53+S61+S69+S57+S29+(S13*S9)</f>
        <v>9973.2099999999991</v>
      </c>
      <c r="T71" s="138">
        <v>14240.191600000013</v>
      </c>
      <c r="U71" s="50">
        <f>U17+U33+U45+U41+U49+U53+U61+U69+U57+U29+U13+U25+U21</f>
        <v>6949.9015999999874</v>
      </c>
      <c r="V71" s="50">
        <f>V17+V33+V45+V41+V49+V53+V61+V69+V57+V29+V13+V25+V21</f>
        <v>8971.7600000000093</v>
      </c>
      <c r="W71" s="50">
        <f>W17+W33+W45+W41+W49+W53+W61+W69+W57+W29+W13+W25+W21+W37</f>
        <v>19194.769999999993</v>
      </c>
      <c r="X71" s="50">
        <f>X17+X33+X45+X41+X49+X53+X61+X69+X57+X29+X13+X25+X21+X37+X65</f>
        <v>19785</v>
      </c>
      <c r="Y71" s="50">
        <f>Y17+Y33+Y45+Y41+Y49+Y53+Y61+Y69+Y57+Y29+Y13+Y25+Y21+Y37+Y65</f>
        <v>8905.7200000000012</v>
      </c>
      <c r="Z71" s="50">
        <f>Z17+Z33+Z45+Z41+Z49+Z53+Z61+Z69+Z57+Z29+Z13+Z25+Z21+Z37+Z65</f>
        <v>11444</v>
      </c>
      <c r="AA71" s="50"/>
      <c r="AB71" s="50"/>
      <c r="AC71" s="50"/>
      <c r="AD71" s="50"/>
      <c r="AE71" s="50"/>
      <c r="AF71" s="50"/>
      <c r="AG71" s="13">
        <f>SUM(U71:AF71)</f>
        <v>75251.151599999983</v>
      </c>
      <c r="AH71" s="173"/>
      <c r="AQ71" s="90"/>
      <c r="AR71" s="56"/>
      <c r="AS71" s="146" t="s">
        <v>32</v>
      </c>
      <c r="AT71" s="148">
        <f>AT70*$AU$27</f>
        <v>155483.67646121493</v>
      </c>
      <c r="AU71" s="55"/>
      <c r="AV71" s="55"/>
    </row>
    <row r="72" spans="14:48" ht="14.5" customHeight="1" thickBot="1" x14ac:dyDescent="0.4">
      <c r="P72" s="28" t="s">
        <v>12</v>
      </c>
      <c r="Q72" s="29"/>
      <c r="R72" s="122">
        <f>R71/R76</f>
        <v>1.9916551927172271E-2</v>
      </c>
      <c r="S72" s="111">
        <v>1.6339694592086392E-2</v>
      </c>
      <c r="T72" s="139">
        <v>2.2402258444487726E-2</v>
      </c>
      <c r="U72" s="60">
        <f t="shared" ref="U72:Z72" si="48">U71/U76</f>
        <v>1.067010923552327E-2</v>
      </c>
      <c r="V72" s="60">
        <f t="shared" si="48"/>
        <v>1.3235673714920316E-2</v>
      </c>
      <c r="W72" s="60">
        <f t="shared" si="48"/>
        <v>2.7236591546977464E-2</v>
      </c>
      <c r="X72" s="60">
        <f t="shared" si="48"/>
        <v>2.6055933667664039E-2</v>
      </c>
      <c r="Y72" s="60">
        <f t="shared" si="48"/>
        <v>1.1746491505750767E-2</v>
      </c>
      <c r="Z72" s="98">
        <f t="shared" si="48"/>
        <v>1.4766451612903226E-2</v>
      </c>
      <c r="AA72" s="60"/>
      <c r="AB72" s="60"/>
      <c r="AC72" s="60"/>
      <c r="AD72" s="60"/>
      <c r="AE72" s="60"/>
      <c r="AF72" s="60"/>
      <c r="AG72" s="66"/>
      <c r="AH72" s="173"/>
      <c r="AQ72" s="90"/>
      <c r="AR72" s="55"/>
      <c r="AS72" s="84" t="s">
        <v>22</v>
      </c>
      <c r="AT72" s="58">
        <f>AT71*12</f>
        <v>1865804.1175345792</v>
      </c>
      <c r="AU72" s="74"/>
      <c r="AV72" s="55"/>
    </row>
    <row r="73" spans="14:48" ht="15" customHeight="1" thickBot="1" x14ac:dyDescent="0.4">
      <c r="P73" s="28"/>
      <c r="Q73" s="99" t="s">
        <v>5</v>
      </c>
      <c r="R73" s="99" t="s">
        <v>11</v>
      </c>
      <c r="S73" s="99" t="s">
        <v>23</v>
      </c>
      <c r="T73" s="99" t="s">
        <v>31</v>
      </c>
      <c r="U73" s="99">
        <v>43831</v>
      </c>
      <c r="V73" s="99">
        <v>43862</v>
      </c>
      <c r="W73" s="99">
        <v>43891</v>
      </c>
      <c r="X73" s="99">
        <v>43922</v>
      </c>
      <c r="Y73" s="99">
        <v>43922</v>
      </c>
      <c r="Z73" s="99">
        <v>43922</v>
      </c>
      <c r="AA73" s="99">
        <v>44013</v>
      </c>
      <c r="AB73" s="99">
        <v>44044</v>
      </c>
      <c r="AC73" s="99">
        <v>44075</v>
      </c>
      <c r="AD73" s="99">
        <v>44105</v>
      </c>
      <c r="AE73" s="99">
        <v>44136</v>
      </c>
      <c r="AF73" s="99">
        <v>44166</v>
      </c>
      <c r="AG73" s="63"/>
      <c r="AH73" s="173"/>
      <c r="AQ73" s="90"/>
      <c r="AR73" s="55"/>
      <c r="AS73" s="55" t="s">
        <v>19</v>
      </c>
      <c r="AT73" s="58">
        <f>($AT$29*12)+AU70</f>
        <v>96000</v>
      </c>
      <c r="AU73" s="55"/>
      <c r="AV73" s="55"/>
    </row>
    <row r="74" spans="14:48" ht="15" customHeight="1" thickBot="1" x14ac:dyDescent="0.4">
      <c r="N74" s="184"/>
      <c r="O74" s="191"/>
      <c r="P74" s="30"/>
      <c r="Q74" s="31"/>
      <c r="R74" s="32"/>
      <c r="S74" s="32"/>
      <c r="T74" s="32"/>
      <c r="U74" s="32"/>
      <c r="V74" s="32"/>
      <c r="W74" s="32"/>
      <c r="X74" s="32"/>
      <c r="Y74" s="32"/>
      <c r="Z74" s="32"/>
      <c r="AA74" s="32"/>
      <c r="AB74" s="32"/>
      <c r="AC74" s="32"/>
      <c r="AD74" s="32"/>
      <c r="AE74" s="32"/>
      <c r="AF74" s="32"/>
      <c r="AG74" s="64"/>
      <c r="AH74" s="173"/>
      <c r="AQ74" s="90"/>
      <c r="AR74" s="228">
        <f>AR70+1</f>
        <v>2032</v>
      </c>
      <c r="AS74" s="126">
        <f>AS70+365</f>
        <v>48365</v>
      </c>
      <c r="AT74" s="149">
        <f>AT73+AT72+AT70+AU74</f>
        <v>10584389.522360735</v>
      </c>
      <c r="AU74" s="33">
        <v>0</v>
      </c>
    </row>
    <row r="75" spans="14:48" ht="15" customHeight="1" thickBot="1" x14ac:dyDescent="0.4">
      <c r="N75" s="185"/>
      <c r="O75" s="192">
        <f>SUM(O10:O74)</f>
        <v>1.188908387096774</v>
      </c>
      <c r="P75" s="27" t="s">
        <v>73</v>
      </c>
      <c r="Q75" s="101">
        <v>28312</v>
      </c>
      <c r="R75" s="101">
        <v>98607.43</v>
      </c>
      <c r="S75" s="101">
        <v>444770.05</v>
      </c>
      <c r="T75" s="101">
        <f>T76</f>
        <v>635700</v>
      </c>
      <c r="U75" s="101">
        <f>((T75)*1.018)+10000</f>
        <v>657142.6</v>
      </c>
      <c r="V75" s="101">
        <f>((U75)*1.018)+10000</f>
        <v>678971.16680000001</v>
      </c>
      <c r="W75" s="101">
        <f>((V75)*1.018)+10000</f>
        <v>701192.64780240005</v>
      </c>
      <c r="X75" s="101">
        <v>727845.31177579355</v>
      </c>
      <c r="Y75" s="101">
        <v>727845.31177579355</v>
      </c>
      <c r="Z75" s="101">
        <v>727845.31177579355</v>
      </c>
      <c r="AA75" s="101">
        <v>802215.50846568518</v>
      </c>
      <c r="AB75" s="101">
        <v>827853.17210960179</v>
      </c>
      <c r="AC75" s="101">
        <v>853926.67603546497</v>
      </c>
      <c r="AD75" s="101">
        <v>880443.42952806782</v>
      </c>
      <c r="AE75" s="101">
        <v>907410.96783004492</v>
      </c>
      <c r="AF75" s="101">
        <v>934836.95428315562</v>
      </c>
      <c r="AG75" s="63"/>
      <c r="AH75" s="173"/>
      <c r="AQ75" s="90"/>
      <c r="AR75" s="56"/>
      <c r="AS75" s="146" t="s">
        <v>32</v>
      </c>
      <c r="AT75" s="148">
        <f>AT74*$AU$27</f>
        <v>190859.20507242452</v>
      </c>
      <c r="AU75" s="55"/>
      <c r="AV75" s="55"/>
    </row>
    <row r="76" spans="14:48" ht="15" customHeight="1" x14ac:dyDescent="0.35">
      <c r="N76" s="184"/>
      <c r="O76" s="191"/>
      <c r="P76" s="12" t="s">
        <v>69</v>
      </c>
      <c r="Q76" s="17">
        <v>28312</v>
      </c>
      <c r="R76" s="125">
        <v>98607.43</v>
      </c>
      <c r="S76" s="125">
        <v>444770.05</v>
      </c>
      <c r="T76" s="125">
        <v>635700</v>
      </c>
      <c r="U76" s="125">
        <f>U67+U59+U55+U51+U47+U39+U31+U27+U23+U19+U15+U11+U43-150000</f>
        <v>651343.06000000006</v>
      </c>
      <c r="V76" s="125">
        <f>V67+V59+V55+V51+V47+V39+V31+V27+V23+V19+V15+V11+V43-150000+V35</f>
        <v>677846.87000000011</v>
      </c>
      <c r="W76" s="125">
        <f>W67+W59+W55+W51+W47+W39+W31+W27+W23+W19+W15+W11+W43-150000+W35</f>
        <v>704742</v>
      </c>
      <c r="X76" s="125">
        <f>X67+X59+X55+X51+X47+X39+X31+X27+X23+X19+X15+X11+X43-150000+X35+X63</f>
        <v>759328</v>
      </c>
      <c r="Y76" s="125">
        <f>Y67+Y59+Y55+Y51+Y47+Y39+Y31+Y27+Y23+Y19+Y15+Y11+Y43-150000+Y35+Y63</f>
        <v>758160</v>
      </c>
      <c r="Z76" s="124">
        <v>775000</v>
      </c>
      <c r="AA76" s="125">
        <f t="shared" ref="AA76:AF76" si="49">AA75</f>
        <v>802215.50846568518</v>
      </c>
      <c r="AB76" s="125">
        <f t="shared" si="49"/>
        <v>827853.17210960179</v>
      </c>
      <c r="AC76" s="125">
        <f t="shared" si="49"/>
        <v>853926.67603546497</v>
      </c>
      <c r="AD76" s="125">
        <f t="shared" si="49"/>
        <v>880443.42952806782</v>
      </c>
      <c r="AE76" s="125">
        <f t="shared" si="49"/>
        <v>907410.96783004492</v>
      </c>
      <c r="AF76" s="125">
        <f t="shared" si="49"/>
        <v>934836.95428315562</v>
      </c>
      <c r="AG76" s="63">
        <v>894767.32584589731</v>
      </c>
      <c r="AH76" s="173"/>
      <c r="AQ76" s="90"/>
      <c r="AR76" s="55"/>
      <c r="AS76" s="84" t="s">
        <v>22</v>
      </c>
      <c r="AT76" s="58">
        <f>AT75*12</f>
        <v>2290310.4608690944</v>
      </c>
      <c r="AU76" s="74"/>
      <c r="AV76" s="55"/>
    </row>
    <row r="77" spans="14:48" ht="14.5" customHeight="1" thickBot="1" x14ac:dyDescent="0.4">
      <c r="N77" s="184"/>
      <c r="O77" s="191"/>
      <c r="P77" s="12" t="s">
        <v>74</v>
      </c>
      <c r="Q77" s="11"/>
      <c r="R77" s="11">
        <f>R60+R52+R48+R40+R44+R32+R16</f>
        <v>12888</v>
      </c>
      <c r="S77" s="17">
        <f>S60+S52+S48+S40+S44+S32+S16+S68+S56+S28+(S12*S9)</f>
        <v>2832.9900000000007</v>
      </c>
      <c r="T77" s="17">
        <v>12910.130000000001</v>
      </c>
      <c r="U77" s="17">
        <f>U60+U52+U48+U40+U44+U32+U24+U20+U16+U68+U56+U28+(U12*U9)</f>
        <v>57857.11</v>
      </c>
      <c r="V77" s="17">
        <f>V60+V52+V48+V40+V44+V32+V24+V20+V16+V68+V56+V28+(V12*V9)+V36</f>
        <v>17108</v>
      </c>
      <c r="W77" s="17">
        <f>W60+W52+W48+W40+W44+W32+W24+W20+W16+W68+W56+W28+(W12*W9)+W36</f>
        <v>7200.3600000000006</v>
      </c>
      <c r="X77" s="17">
        <f>X60+X52+X48+X40+X44+X32+X24+X20+X16+X68+X56+X28+(X12*X9)+X36+X64</f>
        <v>34200</v>
      </c>
      <c r="Y77" s="17">
        <f>Y60+Y52+Y48+Y40+Y44+Y32+Y24+Y20+Y16+Y68+Y56+Y28+(Y12)+Y36+Y64</f>
        <v>-10073.720000000001</v>
      </c>
      <c r="Z77" s="17">
        <f>Z60+Z52+Z48+Z40+Z44+Z32+Z24+Z20+Z16+Z68+Z56+Z28+(Z12)+Z36+Z64</f>
        <v>1800</v>
      </c>
      <c r="AA77" s="17">
        <f>AA60+AA52+AA48+AA40+AA44+AA32+AA16+AA68+AA56+AA24+AA28</f>
        <v>0</v>
      </c>
      <c r="AB77" s="17">
        <f>AB60+AB52+AB48+AB40+AB44+AB32+AB16+AB68+AB56+AB24+AB28</f>
        <v>0</v>
      </c>
      <c r="AC77" s="17">
        <f>AC60+AC52+AC48+AC40+AC44+AC32+AC16+AC68+AC56+AC24+AC28</f>
        <v>0</v>
      </c>
      <c r="AD77" s="17">
        <f>AD60+AD52+AD48+AD40+AD44+AD32+AD16+AD68+AD56+AD24+AD28</f>
        <v>0</v>
      </c>
      <c r="AE77" s="17">
        <f>AE60+AE52+AE48+AE40+AE44+AE32+AE16+AE68+AE56+AE24+AE28+AE20</f>
        <v>0</v>
      </c>
      <c r="AF77" s="17">
        <f>AF60+AF52+AF48+AF40+AF44+AF32+AF16+AF68+AF56+AF24+AF28+AF20</f>
        <v>0</v>
      </c>
      <c r="AG77" s="63">
        <f>SUM(S77:AE77)</f>
        <v>123834.87000000002</v>
      </c>
      <c r="AQ77" s="90"/>
      <c r="AR77" s="55"/>
      <c r="AS77" s="55" t="s">
        <v>19</v>
      </c>
      <c r="AT77" s="58">
        <f>($AT$29*12)+AU74</f>
        <v>96000</v>
      </c>
      <c r="AU77" s="55"/>
      <c r="AV77" s="55"/>
    </row>
    <row r="78" spans="14:48" ht="14.5" customHeight="1" thickBot="1" x14ac:dyDescent="0.4">
      <c r="N78" s="184"/>
      <c r="O78" s="191"/>
      <c r="P78" s="12" t="s">
        <v>13</v>
      </c>
      <c r="Q78" s="22"/>
      <c r="R78" s="22">
        <f t="shared" ref="R78:AF78" si="50">R76-Q76</f>
        <v>70295.429999999993</v>
      </c>
      <c r="S78" s="22">
        <f t="shared" si="50"/>
        <v>346162.62</v>
      </c>
      <c r="T78" s="22">
        <f t="shared" si="50"/>
        <v>190929.95</v>
      </c>
      <c r="U78" s="22">
        <f t="shared" si="50"/>
        <v>15643.060000000056</v>
      </c>
      <c r="V78" s="22">
        <f t="shared" si="50"/>
        <v>26503.810000000056</v>
      </c>
      <c r="W78" s="22">
        <f t="shared" si="50"/>
        <v>26895.129999999888</v>
      </c>
      <c r="X78" s="22">
        <f t="shared" si="50"/>
        <v>54586</v>
      </c>
      <c r="Y78" s="22">
        <f t="shared" si="50"/>
        <v>-1168</v>
      </c>
      <c r="Z78" s="9">
        <f t="shared" si="50"/>
        <v>16840</v>
      </c>
      <c r="AA78" s="22">
        <f t="shared" si="50"/>
        <v>27215.508465685183</v>
      </c>
      <c r="AB78" s="22">
        <f t="shared" si="50"/>
        <v>25637.663643916603</v>
      </c>
      <c r="AC78" s="22">
        <f t="shared" si="50"/>
        <v>26073.503925863188</v>
      </c>
      <c r="AD78" s="22">
        <f t="shared" si="50"/>
        <v>26516.753492602846</v>
      </c>
      <c r="AE78" s="22">
        <f t="shared" si="50"/>
        <v>26967.538301977096</v>
      </c>
      <c r="AF78" s="22">
        <f t="shared" si="50"/>
        <v>27425.986453110701</v>
      </c>
      <c r="AQ78" s="90"/>
      <c r="AR78" s="228">
        <f>AR74+1</f>
        <v>2033</v>
      </c>
      <c r="AS78" s="126">
        <f>AS74+366</f>
        <v>48731</v>
      </c>
      <c r="AT78" s="149">
        <f>AT77+AT76+AT74+AU78</f>
        <v>12970699.983229829</v>
      </c>
      <c r="AU78" s="33">
        <v>0</v>
      </c>
    </row>
    <row r="79" spans="14:48" ht="14.5" customHeight="1" thickBot="1" x14ac:dyDescent="0.4">
      <c r="N79" s="184"/>
      <c r="O79" s="191"/>
      <c r="Q79" s="4"/>
      <c r="U79" s="8"/>
      <c r="V79" s="8"/>
      <c r="W79" s="8"/>
      <c r="X79" s="8"/>
      <c r="Z79" s="8"/>
      <c r="AB79" s="8"/>
      <c r="AC79" s="8"/>
      <c r="AD79" s="8"/>
      <c r="AQ79" s="90"/>
      <c r="AR79" s="56"/>
      <c r="AS79" s="146" t="s">
        <v>32</v>
      </c>
      <c r="AT79" s="148">
        <f>AT78*$AU$27</f>
        <v>233889.49195437436</v>
      </c>
      <c r="AU79" s="55"/>
      <c r="AV79" s="55"/>
    </row>
    <row r="80" spans="14:48" ht="14.5" customHeight="1" x14ac:dyDescent="0.35">
      <c r="N80" s="184"/>
      <c r="O80" s="191"/>
      <c r="AQ80" s="90"/>
      <c r="AR80" s="55"/>
      <c r="AS80" s="84" t="s">
        <v>22</v>
      </c>
      <c r="AT80" s="58">
        <f>AT79*12</f>
        <v>2806673.9034524923</v>
      </c>
      <c r="AU80" s="74"/>
      <c r="AV80" s="55"/>
    </row>
    <row r="81" spans="14:48" ht="14.5" customHeight="1" thickBot="1" x14ac:dyDescent="0.4">
      <c r="N81" s="184"/>
      <c r="O81" s="191"/>
      <c r="R81" s="10"/>
      <c r="AQ81" s="90"/>
      <c r="AR81" s="55"/>
      <c r="AS81" s="55" t="s">
        <v>19</v>
      </c>
      <c r="AT81" s="58">
        <f>($AT$29*12)+AU78</f>
        <v>96000</v>
      </c>
      <c r="AU81" s="55"/>
      <c r="AV81" s="55"/>
    </row>
    <row r="82" spans="14:48" ht="14.5" customHeight="1" thickBot="1" x14ac:dyDescent="0.4">
      <c r="N82" s="184"/>
      <c r="O82" s="191"/>
      <c r="AQ82" s="90"/>
      <c r="AR82" s="228">
        <f>AR78+1</f>
        <v>2034</v>
      </c>
      <c r="AS82" s="126">
        <f>AS78+365</f>
        <v>49096</v>
      </c>
      <c r="AT82" s="149">
        <f>AT81+AT80+AT78+AU82</f>
        <v>15873373.88668232</v>
      </c>
      <c r="AU82" s="33">
        <v>0</v>
      </c>
    </row>
    <row r="83" spans="14:48" ht="14.5" customHeight="1" thickBot="1" x14ac:dyDescent="0.4">
      <c r="N83" s="184"/>
      <c r="O83" s="191"/>
      <c r="AQ83" s="90"/>
      <c r="AR83" s="56"/>
      <c r="AS83" s="146" t="s">
        <v>32</v>
      </c>
      <c r="AT83" s="148">
        <f>AT82*$AU$27</f>
        <v>286230.91727956873</v>
      </c>
      <c r="AU83" s="55"/>
      <c r="AV83" s="55"/>
    </row>
    <row r="84" spans="14:48" ht="14.5" customHeight="1" x14ac:dyDescent="0.35">
      <c r="N84" s="184"/>
      <c r="O84" s="191"/>
      <c r="AQ84" s="90"/>
      <c r="AS84" s="84" t="s">
        <v>22</v>
      </c>
      <c r="AT84" s="58">
        <f>AT83*12</f>
        <v>3434771.0073548248</v>
      </c>
      <c r="AU84" s="74"/>
      <c r="AV84" s="55"/>
    </row>
    <row r="85" spans="14:48" ht="15" customHeight="1" thickBot="1" x14ac:dyDescent="0.4">
      <c r="N85" s="184"/>
      <c r="O85" s="191"/>
      <c r="AQ85" s="90"/>
      <c r="AS85" s="55" t="s">
        <v>19</v>
      </c>
      <c r="AT85" s="58">
        <f>($AT$29*12)+AU82</f>
        <v>96000</v>
      </c>
      <c r="AV85" s="55"/>
    </row>
    <row r="86" spans="14:48" ht="15" customHeight="1" thickBot="1" x14ac:dyDescent="0.4">
      <c r="N86" s="184"/>
      <c r="O86" s="191"/>
      <c r="AQ86" s="90"/>
      <c r="AR86" s="228">
        <f>AR82+1</f>
        <v>2035</v>
      </c>
      <c r="AS86" s="126">
        <f>AS82+365</f>
        <v>49461</v>
      </c>
      <c r="AT86" s="149">
        <f>AT85+AT84+AT82+AU86</f>
        <v>19404144.894037146</v>
      </c>
      <c r="AU86" s="33">
        <v>0</v>
      </c>
    </row>
    <row r="87" spans="14:48" ht="14.5" customHeight="1" thickBot="1" x14ac:dyDescent="0.4">
      <c r="N87" s="184"/>
      <c r="O87" s="191"/>
      <c r="AQ87" s="90"/>
      <c r="AS87" s="146" t="s">
        <v>32</v>
      </c>
      <c r="AT87" s="148">
        <f>AT86*$AU$27</f>
        <v>349898.27819186857</v>
      </c>
      <c r="AV87" s="55"/>
    </row>
    <row r="88" spans="14:48" ht="15" customHeight="1" x14ac:dyDescent="0.35">
      <c r="N88" s="184"/>
      <c r="O88" s="191"/>
      <c r="AQ88" s="90"/>
      <c r="AS88" s="84" t="s">
        <v>22</v>
      </c>
      <c r="AT88" s="58">
        <f>AT87*12</f>
        <v>4198779.3383024223</v>
      </c>
      <c r="AU88" s="74"/>
      <c r="AV88" s="55"/>
    </row>
    <row r="89" spans="14:48" ht="15" customHeight="1" thickBot="1" x14ac:dyDescent="0.4">
      <c r="N89" s="184"/>
      <c r="O89" s="191"/>
      <c r="AQ89" s="90"/>
      <c r="AS89" s="55" t="s">
        <v>19</v>
      </c>
      <c r="AT89" s="58">
        <f>($AT$29*12)+AU86</f>
        <v>96000</v>
      </c>
      <c r="AV89" s="55"/>
    </row>
    <row r="90" spans="14:48" ht="14.5" customHeight="1" thickBot="1" x14ac:dyDescent="0.4">
      <c r="N90" s="184"/>
      <c r="O90" s="191"/>
      <c r="AQ90" s="90"/>
      <c r="AR90" s="223">
        <f>AR86+1</f>
        <v>2036</v>
      </c>
      <c r="AS90" s="126">
        <f>AS86+365</f>
        <v>49826</v>
      </c>
      <c r="AT90" s="149">
        <f>AT89+AT88+AT86+AU90</f>
        <v>23698924.232339568</v>
      </c>
      <c r="AU90" s="33">
        <v>0</v>
      </c>
    </row>
    <row r="91" spans="14:48" ht="15" customHeight="1" thickBot="1" x14ac:dyDescent="0.4">
      <c r="N91" s="184"/>
      <c r="O91" s="191"/>
      <c r="AQ91" s="90"/>
      <c r="AS91" s="146" t="s">
        <v>32</v>
      </c>
      <c r="AT91" s="148">
        <f>AT90*$AU$27</f>
        <v>427342.3451111904</v>
      </c>
    </row>
    <row r="92" spans="14:48" ht="14.5" customHeight="1" x14ac:dyDescent="0.35">
      <c r="N92" s="184"/>
      <c r="O92" s="191"/>
      <c r="AT92" s="58">
        <f>AT91*12</f>
        <v>5128108.141334285</v>
      </c>
    </row>
    <row r="93" spans="14:48" ht="14.5" customHeight="1" x14ac:dyDescent="0.35">
      <c r="N93" s="184"/>
      <c r="O93" s="191"/>
      <c r="AT93" s="58">
        <f>($AT$29*12)+AU90</f>
        <v>96000</v>
      </c>
    </row>
    <row r="94" spans="14:48" ht="14.5" customHeight="1" x14ac:dyDescent="0.35">
      <c r="N94" s="184"/>
      <c r="O94" s="191"/>
    </row>
    <row r="95" spans="14:48" ht="15" customHeight="1" x14ac:dyDescent="0.35">
      <c r="N95" s="184"/>
      <c r="O95" s="191"/>
    </row>
    <row r="96" spans="14:48" ht="14.5" customHeight="1" x14ac:dyDescent="0.35">
      <c r="N96" s="184"/>
      <c r="O96" s="191"/>
    </row>
    <row r="97" spans="14:15" ht="14.5" customHeight="1" x14ac:dyDescent="0.35">
      <c r="N97" s="184"/>
      <c r="O97" s="191"/>
    </row>
    <row r="98" spans="14:15" ht="15" customHeight="1" x14ac:dyDescent="0.35">
      <c r="N98" s="184"/>
      <c r="O98" s="191"/>
    </row>
    <row r="99" spans="14:15" ht="14.5" customHeight="1" x14ac:dyDescent="0.35">
      <c r="N99" s="184"/>
      <c r="O99" s="191"/>
    </row>
    <row r="100" spans="14:15" ht="15" customHeight="1" x14ac:dyDescent="0.35">
      <c r="N100" s="184"/>
      <c r="O100" s="191"/>
    </row>
    <row r="101" spans="14:15" ht="14.5" customHeight="1" x14ac:dyDescent="0.35">
      <c r="N101" s="184"/>
      <c r="O101" s="191"/>
    </row>
    <row r="102" spans="14:15" ht="14.5" customHeight="1" x14ac:dyDescent="0.35">
      <c r="N102" s="184"/>
      <c r="O102" s="191"/>
    </row>
    <row r="103" spans="14:15" ht="14.5" customHeight="1" x14ac:dyDescent="0.35">
      <c r="N103" s="184"/>
      <c r="O103" s="191"/>
    </row>
    <row r="104" spans="14:15" ht="14.5" customHeight="1" x14ac:dyDescent="0.35">
      <c r="N104" s="184"/>
      <c r="O104" s="191"/>
    </row>
    <row r="105" spans="14:15" ht="14.5" customHeight="1" x14ac:dyDescent="0.35">
      <c r="N105" s="184"/>
      <c r="O105" s="191"/>
    </row>
    <row r="106" spans="14:15" ht="14.5" customHeight="1" x14ac:dyDescent="0.35">
      <c r="N106" s="184"/>
      <c r="O106" s="191"/>
    </row>
    <row r="107" spans="14:15" ht="14.5" customHeight="1" x14ac:dyDescent="0.35">
      <c r="N107" s="184"/>
      <c r="O107" s="191"/>
    </row>
    <row r="108" spans="14:15" ht="14.5" customHeight="1" x14ac:dyDescent="0.35">
      <c r="N108" s="184"/>
      <c r="O108" s="191"/>
    </row>
    <row r="109" spans="14:15" ht="15" customHeight="1" x14ac:dyDescent="0.35">
      <c r="N109" s="184"/>
      <c r="O109" s="191"/>
    </row>
    <row r="110" spans="14:15" ht="15" customHeight="1" x14ac:dyDescent="0.35">
      <c r="N110" s="184"/>
      <c r="O110" s="191"/>
    </row>
    <row r="111" spans="14:15" ht="14.5" customHeight="1" x14ac:dyDescent="0.35">
      <c r="N111" s="184"/>
      <c r="O111" s="191"/>
    </row>
    <row r="112" spans="14:15" ht="15" customHeight="1" x14ac:dyDescent="0.35">
      <c r="N112" s="184"/>
      <c r="O112" s="191"/>
    </row>
    <row r="113" spans="14:27" ht="14.5" customHeight="1" x14ac:dyDescent="0.35">
      <c r="N113" s="184"/>
    </row>
    <row r="114" spans="14:27" ht="14.5" customHeight="1" x14ac:dyDescent="0.35"/>
    <row r="115" spans="14:27" ht="14.5" customHeight="1" x14ac:dyDescent="0.35"/>
    <row r="116" spans="14:27" ht="14.5" customHeight="1" x14ac:dyDescent="0.35"/>
    <row r="117" spans="14:27" ht="14.5" customHeight="1" x14ac:dyDescent="0.35"/>
    <row r="118" spans="14:27" ht="14.5" customHeight="1" x14ac:dyDescent="0.35">
      <c r="Z118" s="23"/>
      <c r="AA118" s="23"/>
    </row>
    <row r="119" spans="14:27" ht="14.5" customHeight="1" x14ac:dyDescent="0.35"/>
    <row r="120" spans="14:27" ht="14.5" customHeight="1" x14ac:dyDescent="0.35"/>
    <row r="121" spans="14:27" ht="14.5" customHeight="1" x14ac:dyDescent="0.35"/>
    <row r="122" spans="14:27" ht="14.5" customHeight="1" x14ac:dyDescent="0.35"/>
    <row r="123" spans="14:27" ht="14.5" customHeight="1" x14ac:dyDescent="0.35"/>
    <row r="124" spans="14:27" ht="15" customHeight="1" x14ac:dyDescent="0.35"/>
    <row r="125" spans="14:27" ht="14.5" customHeight="1" x14ac:dyDescent="0.35"/>
    <row r="126" spans="14:27" ht="14.5" customHeight="1" x14ac:dyDescent="0.35"/>
    <row r="127" spans="14:27" ht="14.5" customHeight="1" x14ac:dyDescent="0.35"/>
    <row r="128" spans="14:27" ht="14.5" customHeight="1" x14ac:dyDescent="0.35"/>
    <row r="129" spans="22:31" ht="14.5" customHeight="1" x14ac:dyDescent="0.35"/>
    <row r="130" spans="22:31" ht="14.5" customHeight="1" x14ac:dyDescent="0.35"/>
    <row r="131" spans="22:31" ht="14.5" customHeight="1" x14ac:dyDescent="0.35">
      <c r="V131" s="127"/>
      <c r="W131" s="127"/>
      <c r="X131" s="127"/>
      <c r="Y131" s="127"/>
      <c r="Z131" s="127"/>
      <c r="AA131" s="127"/>
      <c r="AB131" s="127"/>
      <c r="AC131" s="127"/>
      <c r="AD131" s="127"/>
      <c r="AE131" s="127"/>
    </row>
    <row r="132" spans="22:31" ht="14.5" customHeight="1" x14ac:dyDescent="0.35"/>
    <row r="133" spans="22:31" ht="14.5" customHeight="1" x14ac:dyDescent="0.35"/>
    <row r="134" spans="22:31" ht="14.5" customHeight="1" x14ac:dyDescent="0.35"/>
    <row r="135" spans="22:31" ht="14.5" customHeight="1" x14ac:dyDescent="0.35"/>
    <row r="136" spans="22:31" ht="15" customHeight="1" x14ac:dyDescent="0.35"/>
    <row r="137" spans="22:31" ht="14.5" customHeight="1" x14ac:dyDescent="0.35"/>
    <row r="138" spans="22:31" ht="14.5" customHeight="1" x14ac:dyDescent="0.35"/>
    <row r="139" spans="22:31" ht="14.5" customHeight="1" x14ac:dyDescent="0.35"/>
    <row r="140" spans="22:31" ht="14.5" customHeight="1" x14ac:dyDescent="0.35"/>
    <row r="141" spans="22:31" ht="14.5" customHeight="1" x14ac:dyDescent="0.35"/>
    <row r="142" spans="22:31" ht="14.5" customHeight="1" x14ac:dyDescent="0.35"/>
    <row r="143" spans="22:31" ht="14.5" customHeight="1" x14ac:dyDescent="0.35"/>
    <row r="144" spans="22:31" ht="14.5" customHeight="1" x14ac:dyDescent="0.35"/>
    <row r="145" ht="14.5" customHeight="1" x14ac:dyDescent="0.35"/>
    <row r="146" ht="14.5" customHeight="1" x14ac:dyDescent="0.35"/>
    <row r="147" ht="14.5" customHeight="1" x14ac:dyDescent="0.35"/>
    <row r="148" ht="15" customHeight="1" x14ac:dyDescent="0.35"/>
    <row r="149" ht="14.5" customHeight="1" x14ac:dyDescent="0.35"/>
    <row r="150" ht="14.5" customHeight="1" x14ac:dyDescent="0.35"/>
    <row r="151" ht="14.5" customHeight="1" x14ac:dyDescent="0.35"/>
    <row r="152" ht="14.5" customHeight="1" x14ac:dyDescent="0.35"/>
    <row r="153" ht="14.5" customHeight="1" x14ac:dyDescent="0.35"/>
    <row r="154" ht="14.5" customHeight="1" x14ac:dyDescent="0.35"/>
    <row r="155" ht="14.5" customHeight="1" x14ac:dyDescent="0.35"/>
    <row r="156" ht="14.5" customHeight="1" x14ac:dyDescent="0.35"/>
    <row r="157" ht="14.5" customHeight="1" x14ac:dyDescent="0.35"/>
    <row r="158" ht="14.5" customHeight="1" x14ac:dyDescent="0.35"/>
    <row r="159" ht="14.5" customHeight="1" x14ac:dyDescent="0.35"/>
    <row r="160" ht="15" customHeight="1" x14ac:dyDescent="0.35"/>
    <row r="161" ht="14.5" customHeight="1" x14ac:dyDescent="0.35"/>
    <row r="162" ht="14.5" customHeight="1" x14ac:dyDescent="0.35"/>
    <row r="163" ht="14.5" customHeight="1" x14ac:dyDescent="0.35"/>
    <row r="164" ht="14.5" customHeight="1" x14ac:dyDescent="0.35"/>
    <row r="165" ht="14.5" customHeight="1" x14ac:dyDescent="0.35"/>
    <row r="166" ht="14.5" customHeight="1" x14ac:dyDescent="0.35"/>
    <row r="167" ht="14.5" customHeight="1" x14ac:dyDescent="0.35"/>
    <row r="168" ht="14.5" customHeight="1" x14ac:dyDescent="0.35"/>
    <row r="169" ht="14.5" customHeight="1" x14ac:dyDescent="0.35"/>
    <row r="170" ht="14.5" customHeight="1" x14ac:dyDescent="0.35"/>
    <row r="171" ht="14.5" customHeight="1" x14ac:dyDescent="0.35"/>
    <row r="172" ht="15" customHeight="1" x14ac:dyDescent="0.35"/>
    <row r="173" ht="14.5" customHeight="1" x14ac:dyDescent="0.35"/>
    <row r="174" ht="14.5" customHeight="1" x14ac:dyDescent="0.35"/>
    <row r="175" ht="14.5" customHeight="1" x14ac:dyDescent="0.35"/>
    <row r="176" ht="14.5" customHeight="1" x14ac:dyDescent="0.35"/>
    <row r="177" ht="14.5" customHeight="1" x14ac:dyDescent="0.35"/>
    <row r="178" ht="14.5" customHeight="1" x14ac:dyDescent="0.35"/>
    <row r="179" ht="14.5" customHeight="1" x14ac:dyDescent="0.35"/>
    <row r="180" ht="14.5" customHeight="1" x14ac:dyDescent="0.35"/>
    <row r="181" ht="14.5" customHeight="1" x14ac:dyDescent="0.35"/>
    <row r="182" ht="14.5" customHeight="1" x14ac:dyDescent="0.35"/>
    <row r="183" ht="14.5" customHeight="1" x14ac:dyDescent="0.35"/>
    <row r="184" ht="15" customHeight="1" x14ac:dyDescent="0.35"/>
    <row r="185" ht="14.5" customHeight="1" x14ac:dyDescent="0.35"/>
    <row r="186" ht="14.5" customHeight="1" x14ac:dyDescent="0.35"/>
    <row r="187" ht="14.5" customHeight="1" x14ac:dyDescent="0.35"/>
    <row r="188" ht="14.5" customHeight="1" x14ac:dyDescent="0.35"/>
    <row r="189" ht="14.5" customHeight="1" x14ac:dyDescent="0.35"/>
    <row r="190" ht="14.5" customHeight="1" x14ac:dyDescent="0.35"/>
    <row r="191" ht="14.5" customHeight="1" x14ac:dyDescent="0.35"/>
    <row r="192" ht="14.5" customHeight="1" x14ac:dyDescent="0.35"/>
    <row r="193" ht="14.5" customHeight="1" x14ac:dyDescent="0.35"/>
    <row r="194" ht="14.5" customHeight="1" x14ac:dyDescent="0.35"/>
    <row r="195" ht="14.5" customHeight="1" x14ac:dyDescent="0.35"/>
    <row r="196" ht="15" customHeight="1" x14ac:dyDescent="0.35"/>
    <row r="197" ht="14.5" customHeight="1" x14ac:dyDescent="0.35"/>
    <row r="198" ht="14.5" customHeight="1" x14ac:dyDescent="0.35"/>
    <row r="199" ht="14.5" customHeight="1" x14ac:dyDescent="0.35"/>
    <row r="200" ht="14.5" customHeight="1" x14ac:dyDescent="0.35"/>
    <row r="201" ht="14.5" customHeight="1" x14ac:dyDescent="0.35"/>
    <row r="202" ht="14.5" customHeight="1" x14ac:dyDescent="0.35"/>
    <row r="203" ht="14.5" customHeight="1" x14ac:dyDescent="0.35"/>
    <row r="204" ht="14.5" customHeight="1" x14ac:dyDescent="0.35"/>
    <row r="205" ht="14.5" customHeight="1" x14ac:dyDescent="0.35"/>
    <row r="206" ht="14.5" customHeight="1" x14ac:dyDescent="0.35"/>
    <row r="207" ht="14.5" customHeight="1" x14ac:dyDescent="0.35"/>
    <row r="208" ht="15" customHeight="1" x14ac:dyDescent="0.35"/>
    <row r="209" ht="14.5" customHeight="1" x14ac:dyDescent="0.35"/>
    <row r="210" ht="14.5" customHeight="1" x14ac:dyDescent="0.35"/>
    <row r="211" ht="14.5" customHeight="1" x14ac:dyDescent="0.35"/>
    <row r="212" ht="14.5" customHeight="1" x14ac:dyDescent="0.35"/>
    <row r="213" ht="14.5" customHeight="1" x14ac:dyDescent="0.35"/>
    <row r="214" ht="14.5" customHeight="1" x14ac:dyDescent="0.35"/>
    <row r="215" ht="14.5" customHeight="1" x14ac:dyDescent="0.35"/>
    <row r="216" ht="14.5" customHeight="1" x14ac:dyDescent="0.35"/>
    <row r="217" ht="14.5" customHeight="1" x14ac:dyDescent="0.35"/>
    <row r="218" ht="14.5" customHeight="1" x14ac:dyDescent="0.35"/>
    <row r="219" ht="14.5" customHeight="1" x14ac:dyDescent="0.35"/>
    <row r="220" ht="15" customHeight="1" x14ac:dyDescent="0.35"/>
    <row r="221" ht="14.5" customHeight="1" x14ac:dyDescent="0.35"/>
    <row r="222" ht="14.5" customHeight="1" x14ac:dyDescent="0.35"/>
    <row r="223" ht="14.5" customHeight="1" x14ac:dyDescent="0.35"/>
    <row r="224" ht="14.5" customHeight="1" x14ac:dyDescent="0.35"/>
    <row r="225" ht="14.5" customHeight="1" x14ac:dyDescent="0.35"/>
    <row r="226" ht="14.5" customHeight="1" x14ac:dyDescent="0.35"/>
    <row r="227" ht="14.5" customHeight="1" x14ac:dyDescent="0.35"/>
    <row r="228" ht="14.5" customHeight="1" x14ac:dyDescent="0.35"/>
    <row r="229" ht="14.5" customHeight="1" x14ac:dyDescent="0.35"/>
    <row r="230" ht="14.5" customHeight="1" x14ac:dyDescent="0.35"/>
    <row r="231" ht="14.5" customHeight="1" x14ac:dyDescent="0.35"/>
    <row r="232" ht="15" customHeight="1" x14ac:dyDescent="0.35"/>
    <row r="233" ht="14.5" customHeight="1" x14ac:dyDescent="0.35"/>
    <row r="234" ht="14.5" customHeight="1" x14ac:dyDescent="0.35"/>
    <row r="235" ht="14.5" customHeight="1" x14ac:dyDescent="0.35"/>
    <row r="236" ht="14.5" customHeight="1" x14ac:dyDescent="0.35"/>
    <row r="237" ht="14.5" customHeight="1" x14ac:dyDescent="0.35"/>
    <row r="238" ht="14.5" customHeight="1" x14ac:dyDescent="0.35"/>
    <row r="239" ht="14.5" customHeight="1" x14ac:dyDescent="0.35"/>
    <row r="240" ht="14.5" customHeight="1" x14ac:dyDescent="0.35"/>
    <row r="241" spans="34:34" ht="14.5" customHeight="1" x14ac:dyDescent="0.35">
      <c r="AH241" s="175"/>
    </row>
    <row r="242" spans="34:34" ht="14.5" customHeight="1" x14ac:dyDescent="0.35">
      <c r="AH242" s="175"/>
    </row>
    <row r="243" spans="34:34" ht="14.5" customHeight="1" x14ac:dyDescent="0.35">
      <c r="AH243" s="175"/>
    </row>
    <row r="244" spans="34:34" ht="15" customHeight="1" x14ac:dyDescent="0.35"/>
    <row r="245" spans="34:34" ht="14.5" customHeight="1" x14ac:dyDescent="0.35"/>
    <row r="246" spans="34:34" ht="14.5" customHeight="1" x14ac:dyDescent="0.35"/>
    <row r="247" spans="34:34" ht="14.5" customHeight="1" x14ac:dyDescent="0.35"/>
    <row r="248" spans="34:34" ht="14.5" customHeight="1" x14ac:dyDescent="0.35"/>
    <row r="249" spans="34:34" ht="14.5" customHeight="1" x14ac:dyDescent="0.35"/>
    <row r="250" spans="34:34" ht="14.5" customHeight="1" x14ac:dyDescent="0.35"/>
    <row r="251" spans="34:34" ht="14.5" customHeight="1" x14ac:dyDescent="0.35"/>
    <row r="252" spans="34:34" ht="14.5" customHeight="1" x14ac:dyDescent="0.35"/>
    <row r="253" spans="34:34" ht="14.5" customHeight="1" x14ac:dyDescent="0.35"/>
    <row r="254" spans="34:34" ht="14.5" customHeight="1" x14ac:dyDescent="0.35"/>
    <row r="255" spans="34:34" ht="14.5" customHeight="1" x14ac:dyDescent="0.35"/>
    <row r="256" spans="34:34" ht="15" customHeight="1" x14ac:dyDescent="0.35">
      <c r="AH256" s="176"/>
    </row>
    <row r="257" spans="34:34" ht="14.5" customHeight="1" x14ac:dyDescent="0.35">
      <c r="AH257" s="176"/>
    </row>
    <row r="258" spans="34:34" ht="14.5" customHeight="1" x14ac:dyDescent="0.35">
      <c r="AH258" s="176"/>
    </row>
    <row r="259" spans="34:34" ht="14.5" customHeight="1" x14ac:dyDescent="0.35">
      <c r="AH259" s="176"/>
    </row>
    <row r="260" spans="34:34" ht="14.5" customHeight="1" x14ac:dyDescent="0.35"/>
    <row r="261" spans="34:34" ht="14.5" customHeight="1" x14ac:dyDescent="0.35"/>
    <row r="262" spans="34:34" ht="14.5" customHeight="1" x14ac:dyDescent="0.35"/>
    <row r="263" spans="34:34" ht="14.5" customHeight="1" x14ac:dyDescent="0.35"/>
    <row r="264" spans="34:34" ht="14.5" customHeight="1" x14ac:dyDescent="0.35"/>
    <row r="265" spans="34:34" ht="14.5" customHeight="1" x14ac:dyDescent="0.35"/>
    <row r="266" spans="34:34" ht="14.5" customHeight="1" x14ac:dyDescent="0.35"/>
    <row r="267" spans="34:34" ht="14.5" customHeight="1" x14ac:dyDescent="0.35"/>
    <row r="268" spans="34:34" ht="15" customHeight="1" x14ac:dyDescent="0.35"/>
    <row r="281" ht="14.5" customHeight="1" x14ac:dyDescent="0.35"/>
    <row r="282" ht="14.5" customHeight="1" x14ac:dyDescent="0.35"/>
    <row r="283" ht="14.5" customHeight="1" x14ac:dyDescent="0.35"/>
    <row r="284" ht="14.5" customHeight="1" x14ac:dyDescent="0.35"/>
    <row r="285" ht="14.5" customHeight="1" x14ac:dyDescent="0.35"/>
    <row r="286" ht="14.5" customHeight="1" x14ac:dyDescent="0.35"/>
    <row r="287" ht="14.5" customHeight="1" x14ac:dyDescent="0.35"/>
    <row r="288" ht="14.5" customHeight="1" x14ac:dyDescent="0.35"/>
    <row r="289" ht="14.5" customHeight="1" x14ac:dyDescent="0.35"/>
    <row r="290" ht="14.5" customHeight="1" x14ac:dyDescent="0.35"/>
    <row r="291" ht="14.5" customHeight="1" x14ac:dyDescent="0.35"/>
    <row r="292" ht="15" customHeight="1" x14ac:dyDescent="0.35"/>
    <row r="305" ht="14.5" customHeight="1" x14ac:dyDescent="0.35"/>
    <row r="306" ht="14.5" customHeight="1" x14ac:dyDescent="0.35"/>
    <row r="307" ht="14.5" customHeight="1" x14ac:dyDescent="0.35"/>
    <row r="308" ht="14.5" customHeight="1" x14ac:dyDescent="0.35"/>
    <row r="309" ht="14.5" customHeight="1" x14ac:dyDescent="0.35"/>
    <row r="310" ht="14.5" customHeight="1" x14ac:dyDescent="0.35"/>
    <row r="311" ht="14.5" customHeight="1" x14ac:dyDescent="0.35"/>
    <row r="312" ht="14.5" customHeight="1" x14ac:dyDescent="0.35"/>
    <row r="313" ht="14.5" customHeight="1" x14ac:dyDescent="0.35"/>
    <row r="314" ht="14.5" customHeight="1" x14ac:dyDescent="0.35"/>
    <row r="315" ht="14.5" customHeight="1" x14ac:dyDescent="0.35"/>
    <row r="316" ht="15" customHeight="1" x14ac:dyDescent="0.35"/>
    <row r="329" ht="14.5" customHeight="1" x14ac:dyDescent="0.35"/>
    <row r="330" ht="14.5" customHeight="1" x14ac:dyDescent="0.35"/>
    <row r="331" ht="14.5" customHeight="1" x14ac:dyDescent="0.35"/>
    <row r="332" ht="14.5" customHeight="1" x14ac:dyDescent="0.35"/>
    <row r="333" ht="14.5" customHeight="1" x14ac:dyDescent="0.35"/>
    <row r="334" ht="14.5" customHeight="1" x14ac:dyDescent="0.35"/>
    <row r="335" ht="14.5" customHeight="1" x14ac:dyDescent="0.35"/>
    <row r="336" ht="14.5" customHeight="1" x14ac:dyDescent="0.35"/>
    <row r="337" ht="14.5" customHeight="1" x14ac:dyDescent="0.35"/>
    <row r="338" ht="14.5" customHeight="1" x14ac:dyDescent="0.35"/>
    <row r="339" ht="14.5" customHeight="1" x14ac:dyDescent="0.35"/>
    <row r="340" ht="15" customHeight="1" x14ac:dyDescent="0.35"/>
    <row r="497" ht="14.5" customHeight="1" x14ac:dyDescent="0.35"/>
    <row r="498" ht="14.5" customHeight="1" x14ac:dyDescent="0.35"/>
    <row r="499" ht="14.5" customHeight="1" x14ac:dyDescent="0.35"/>
    <row r="500" ht="14.5" customHeight="1" x14ac:dyDescent="0.35"/>
    <row r="501" ht="14.5" customHeight="1" x14ac:dyDescent="0.35"/>
    <row r="502" ht="14.5" customHeight="1" x14ac:dyDescent="0.35"/>
    <row r="503" ht="14.5" customHeight="1" x14ac:dyDescent="0.35"/>
    <row r="504" ht="14.5" customHeight="1" x14ac:dyDescent="0.35"/>
    <row r="505" ht="14.5" customHeight="1" x14ac:dyDescent="0.35"/>
    <row r="506" ht="14.5" customHeight="1" x14ac:dyDescent="0.35"/>
    <row r="507" ht="14.5" customHeight="1" x14ac:dyDescent="0.35"/>
    <row r="508" ht="15" customHeight="1" x14ac:dyDescent="0.35"/>
  </sheetData>
  <mergeCells count="13">
    <mergeCell ref="AP3:AV4"/>
    <mergeCell ref="D6:E6"/>
    <mergeCell ref="F6:G6"/>
    <mergeCell ref="J6:K6"/>
    <mergeCell ref="D5:G5"/>
    <mergeCell ref="AR8:AV8"/>
    <mergeCell ref="B3:L4"/>
    <mergeCell ref="J7:K7"/>
    <mergeCell ref="J8:K8"/>
    <mergeCell ref="J10:J20"/>
    <mergeCell ref="U7:AD9"/>
    <mergeCell ref="Q5:T9"/>
    <mergeCell ref="P3:AG4"/>
  </mergeCells>
  <pageMargins left="0.7" right="0.7" top="0.75" bottom="0.75" header="0.3" footer="0.3"/>
  <pageSetup paperSize="9" orientation="portrait" r:id="rId1"/>
  <ignoredErrors>
    <ignoredError sqref="AU27" formula="1"/>
  </ignoredError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Junio 2021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Ashley Osiris Quezada Cambero</dc:creator>
  <cp:lastModifiedBy>Christian Noe Rubio Gutierrez</cp:lastModifiedBy>
  <dcterms:created xsi:type="dcterms:W3CDTF">2019-03-15T21:56:50Z</dcterms:created>
  <dcterms:modified xsi:type="dcterms:W3CDTF">2021-06-22T15:22:04Z</dcterms:modified>
</cp:coreProperties>
</file>